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autoCompressPictures="0" defaultThemeVersion="124226"/>
  <bookViews>
    <workbookView xWindow="240" yWindow="105" windowWidth="12240" windowHeight="5985" firstSheet="2" activeTab="2"/>
  </bookViews>
  <sheets>
    <sheet name="sh" sheetId="1" r:id="rId1"/>
    <sheet name="Assumptions" sheetId="10" r:id="rId2"/>
    <sheet name="BOQ" sheetId="2" r:id="rId3"/>
    <sheet name="Construct &amp; maint of  Access Rd" sheetId="3" r:id="rId4"/>
    <sheet name="Setting out and site clearance " sheetId="6" r:id="rId5"/>
    <sheet name="Earth Works" sheetId="7" r:id="rId6"/>
    <sheet name="Drainage Works" sheetId="8" r:id="rId7"/>
    <sheet name="Graveling" sheetId="9" r:id="rId8"/>
    <sheet name="Rate Drainage works" sheetId="5" r:id="rId9"/>
    <sheet name="Labour  Rates" sheetId="11" r:id="rId10"/>
    <sheet name="Equipment rates" sheetId="12" r:id="rId11"/>
    <sheet name="S" sheetId="13" r:id="rId12"/>
    <sheet name="Staff rate computation" sheetId="14" r:id="rId13"/>
  </sheets>
  <externalReferences>
    <externalReference r:id="rId14"/>
    <externalReference r:id="rId15"/>
  </externalReference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3" i="3"/>
  <c r="E43"/>
  <c r="F192" i="2"/>
  <c r="E21" i="14"/>
  <c r="E22"/>
  <c r="E6"/>
  <c r="E7"/>
  <c r="C8"/>
  <c r="E8"/>
  <c r="E9"/>
  <c r="E10"/>
  <c r="E13"/>
  <c r="E14"/>
  <c r="D15"/>
  <c r="D16"/>
  <c r="D17"/>
  <c r="D18"/>
  <c r="E19"/>
  <c r="B6"/>
  <c r="D42" i="3"/>
  <c r="E82" i="2"/>
  <c r="I208"/>
  <c r="J208"/>
  <c r="B47" i="9"/>
  <c r="B22" i="8"/>
  <c r="B111" i="7"/>
  <c r="C25" i="6"/>
  <c r="D17" i="9"/>
  <c r="D18"/>
  <c r="D20"/>
  <c r="D21"/>
  <c r="D22"/>
  <c r="D23"/>
  <c r="D24"/>
  <c r="D25"/>
  <c r="D26"/>
  <c r="C27"/>
  <c r="B27"/>
  <c r="D27"/>
  <c r="D31"/>
  <c r="D32"/>
  <c r="D33"/>
  <c r="D34"/>
  <c r="D35"/>
  <c r="D36"/>
  <c r="D37"/>
  <c r="D38"/>
  <c r="D39"/>
  <c r="D40"/>
  <c r="D41"/>
  <c r="D42"/>
  <c r="D43"/>
  <c r="D44"/>
  <c r="D45"/>
  <c r="D46"/>
  <c r="C47"/>
  <c r="D47"/>
  <c r="J155" i="2"/>
  <c r="I155"/>
  <c r="K155"/>
  <c r="D28" i="9"/>
  <c r="D48"/>
  <c r="D49"/>
  <c r="E155" i="2"/>
  <c r="D4" i="9"/>
  <c r="D5"/>
  <c r="D6"/>
  <c r="D7"/>
  <c r="D8"/>
  <c r="D9"/>
  <c r="D10"/>
  <c r="D11"/>
  <c r="D12"/>
  <c r="C13"/>
  <c r="B13"/>
  <c r="D13"/>
  <c r="J153" i="2"/>
  <c r="I153"/>
  <c r="D14" i="9"/>
  <c r="E153" i="2"/>
  <c r="D72" i="7"/>
  <c r="D73"/>
  <c r="D74"/>
  <c r="D75"/>
  <c r="D76"/>
  <c r="D77"/>
  <c r="D78"/>
  <c r="D79"/>
  <c r="D80"/>
  <c r="D81"/>
  <c r="D82"/>
  <c r="D83"/>
  <c r="C84"/>
  <c r="B84"/>
  <c r="D84"/>
  <c r="J50" i="2"/>
  <c r="I50"/>
  <c r="K50"/>
  <c r="D85" i="7"/>
  <c r="E50" i="2"/>
  <c r="D59" i="7"/>
  <c r="D60"/>
  <c r="D61"/>
  <c r="D62"/>
  <c r="D63"/>
  <c r="D64"/>
  <c r="D65"/>
  <c r="D66"/>
  <c r="D67"/>
  <c r="C68"/>
  <c r="B68"/>
  <c r="D68"/>
  <c r="J48" i="2"/>
  <c r="I48"/>
  <c r="K48"/>
  <c r="D69" i="7"/>
  <c r="E48" i="2"/>
  <c r="F48"/>
  <c r="D44" i="7"/>
  <c r="D45"/>
  <c r="D46"/>
  <c r="D47"/>
  <c r="D48"/>
  <c r="D49"/>
  <c r="D50"/>
  <c r="D51"/>
  <c r="D52"/>
  <c r="D53"/>
  <c r="D54"/>
  <c r="C55"/>
  <c r="B55"/>
  <c r="D55"/>
  <c r="J46" i="2"/>
  <c r="I46"/>
  <c r="K46"/>
  <c r="D56" i="7"/>
  <c r="E46" i="2"/>
  <c r="K153"/>
  <c r="D30" i="7"/>
  <c r="D31"/>
  <c r="D32"/>
  <c r="D33"/>
  <c r="D34"/>
  <c r="D35"/>
  <c r="D36"/>
  <c r="D38"/>
  <c r="I42" i="2"/>
  <c r="C39" i="7"/>
  <c r="B39"/>
  <c r="D39"/>
  <c r="J42" i="2"/>
  <c r="K42"/>
  <c r="B98" i="7"/>
  <c r="B27"/>
  <c r="B14"/>
  <c r="D108"/>
  <c r="D107"/>
  <c r="D106"/>
  <c r="D105"/>
  <c r="D104"/>
  <c r="D103"/>
  <c r="D102"/>
  <c r="D109"/>
  <c r="D95"/>
  <c r="D94"/>
  <c r="D93"/>
  <c r="D92"/>
  <c r="D91"/>
  <c r="D90"/>
  <c r="D89"/>
  <c r="D37"/>
  <c r="A29"/>
  <c r="D24"/>
  <c r="D23"/>
  <c r="D22"/>
  <c r="D21"/>
  <c r="D20"/>
  <c r="D19"/>
  <c r="D18"/>
  <c r="D17"/>
  <c r="D25"/>
  <c r="D11"/>
  <c r="D10"/>
  <c r="D9"/>
  <c r="D8"/>
  <c r="D7"/>
  <c r="D6"/>
  <c r="D5"/>
  <c r="D4"/>
  <c r="D12"/>
  <c r="I185" i="2"/>
  <c r="I182"/>
  <c r="I181"/>
  <c r="I178"/>
  <c r="I175"/>
  <c r="E14" i="6"/>
  <c r="E15"/>
  <c r="E16"/>
  <c r="E17"/>
  <c r="E19"/>
  <c r="E20"/>
  <c r="E21"/>
  <c r="E22"/>
  <c r="E23"/>
  <c r="E24"/>
  <c r="I21" i="2"/>
  <c r="E4" i="6"/>
  <c r="E5"/>
  <c r="E6"/>
  <c r="E7"/>
  <c r="E8"/>
  <c r="E9"/>
  <c r="D10"/>
  <c r="C10"/>
  <c r="E10"/>
  <c r="J19" i="2"/>
  <c r="I19"/>
  <c r="D31" i="3"/>
  <c r="D32"/>
  <c r="D33"/>
  <c r="D34"/>
  <c r="D35"/>
  <c r="D36"/>
  <c r="D23"/>
  <c r="D24"/>
  <c r="D25"/>
  <c r="D26"/>
  <c r="D27"/>
  <c r="D28"/>
  <c r="D15"/>
  <c r="D16"/>
  <c r="D17"/>
  <c r="D19"/>
  <c r="D20"/>
  <c r="D39"/>
  <c r="D5"/>
  <c r="D6"/>
  <c r="D7"/>
  <c r="D8"/>
  <c r="D9"/>
  <c r="D10"/>
  <c r="C11"/>
  <c r="D11"/>
  <c r="D43"/>
  <c r="J12" i="2"/>
  <c r="J168"/>
  <c r="D38" i="3"/>
  <c r="I12" i="2"/>
  <c r="I168"/>
  <c r="K168"/>
  <c r="F177"/>
  <c r="I177"/>
  <c r="E18" i="12"/>
  <c r="F18"/>
  <c r="E16"/>
  <c r="F16"/>
  <c r="E14"/>
  <c r="F14"/>
  <c r="E6"/>
  <c r="F6"/>
  <c r="E4"/>
  <c r="F4"/>
  <c r="E25"/>
  <c r="F25"/>
  <c r="E24"/>
  <c r="F24"/>
  <c r="E23"/>
  <c r="F23"/>
  <c r="E22"/>
  <c r="F22"/>
  <c r="E21"/>
  <c r="F21"/>
  <c r="E20"/>
  <c r="F20"/>
  <c r="E19"/>
  <c r="F19"/>
  <c r="E17"/>
  <c r="F17"/>
  <c r="E15"/>
  <c r="F15"/>
  <c r="E13"/>
  <c r="F13"/>
  <c r="E12"/>
  <c r="F12"/>
  <c r="E11"/>
  <c r="F11"/>
  <c r="E10"/>
  <c r="F10"/>
  <c r="E9"/>
  <c r="F9"/>
  <c r="E8"/>
  <c r="F8"/>
  <c r="E7"/>
  <c r="F7"/>
  <c r="E5"/>
  <c r="F5"/>
  <c r="E3"/>
  <c r="F3"/>
  <c r="G53" i="11"/>
  <c r="H53"/>
  <c r="G52"/>
  <c r="H52"/>
  <c r="G51"/>
  <c r="H51"/>
  <c r="G50"/>
  <c r="H50"/>
  <c r="G49"/>
  <c r="H49"/>
  <c r="G48"/>
  <c r="H48"/>
  <c r="G47"/>
  <c r="H47"/>
  <c r="G46"/>
  <c r="H46"/>
  <c r="G45"/>
  <c r="H45"/>
  <c r="G44"/>
  <c r="H44"/>
  <c r="G43"/>
  <c r="H43"/>
  <c r="G42"/>
  <c r="H42"/>
  <c r="E53"/>
  <c r="F53"/>
  <c r="E52"/>
  <c r="F52"/>
  <c r="E51"/>
  <c r="F51"/>
  <c r="E50"/>
  <c r="F50"/>
  <c r="E49"/>
  <c r="F49"/>
  <c r="E48"/>
  <c r="F48"/>
  <c r="E47"/>
  <c r="F47"/>
  <c r="E46"/>
  <c r="F46"/>
  <c r="E45"/>
  <c r="F45"/>
  <c r="E44"/>
  <c r="F44"/>
  <c r="E43"/>
  <c r="F43"/>
  <c r="E42"/>
  <c r="F42"/>
  <c r="E17"/>
  <c r="G17"/>
  <c r="E16"/>
  <c r="G16"/>
  <c r="E15"/>
  <c r="G15"/>
  <c r="E14"/>
  <c r="G14"/>
  <c r="E13"/>
  <c r="G13"/>
  <c r="E12"/>
  <c r="G12"/>
  <c r="E11"/>
  <c r="G11"/>
  <c r="E10"/>
  <c r="G10"/>
  <c r="E9"/>
  <c r="G9"/>
  <c r="E8"/>
  <c r="G8"/>
  <c r="E7"/>
  <c r="G7"/>
  <c r="E6"/>
  <c r="G6"/>
  <c r="E5"/>
  <c r="G5"/>
  <c r="K12" i="2"/>
  <c r="I29"/>
  <c r="I169"/>
  <c r="I161"/>
  <c r="I172"/>
  <c r="K19"/>
  <c r="J161"/>
  <c r="J172"/>
  <c r="K172"/>
  <c r="D13" i="7"/>
  <c r="D26"/>
  <c r="D96"/>
  <c r="D97"/>
  <c r="D110"/>
  <c r="E9" i="2"/>
  <c r="K161"/>
  <c r="C111" i="7"/>
  <c r="D111"/>
  <c r="D112"/>
  <c r="C27"/>
  <c r="D27"/>
  <c r="J40" i="2"/>
  <c r="I40"/>
  <c r="C98" i="7"/>
  <c r="D98"/>
  <c r="D99"/>
  <c r="E38"/>
  <c r="C14"/>
  <c r="D14"/>
  <c r="J38" i="2"/>
  <c r="I38"/>
  <c r="H18" i="5"/>
  <c r="E17"/>
  <c r="E13"/>
  <c r="E12"/>
  <c r="E10"/>
  <c r="E9"/>
  <c r="E7"/>
  <c r="E6"/>
  <c r="E5"/>
  <c r="E4"/>
  <c r="K38" i="2"/>
  <c r="K40"/>
  <c r="D15" i="7"/>
  <c r="D40"/>
  <c r="D28"/>
  <c r="E14" i="5"/>
  <c r="E15"/>
  <c r="D19" i="8"/>
  <c r="D18"/>
  <c r="D17"/>
  <c r="D16"/>
  <c r="D15"/>
  <c r="D13"/>
  <c r="D12"/>
  <c r="D11"/>
  <c r="D10"/>
  <c r="D8"/>
  <c r="D7"/>
  <c r="D6"/>
  <c r="D5"/>
  <c r="F184" i="2"/>
  <c r="I184"/>
  <c r="F183"/>
  <c r="I183"/>
  <c r="F180"/>
  <c r="I180"/>
  <c r="F179"/>
  <c r="I179"/>
  <c r="F176"/>
  <c r="I176"/>
  <c r="E166"/>
  <c r="A166"/>
  <c r="E164"/>
  <c r="F157"/>
  <c r="F151"/>
  <c r="E151"/>
  <c r="D151"/>
  <c r="C151"/>
  <c r="B151"/>
  <c r="A151"/>
  <c r="E150"/>
  <c r="A150"/>
  <c r="E148"/>
  <c r="F143"/>
  <c r="F141"/>
  <c r="F139"/>
  <c r="F137"/>
  <c r="F135"/>
  <c r="F133"/>
  <c r="F131"/>
  <c r="F130"/>
  <c r="F129"/>
  <c r="F126"/>
  <c r="F124"/>
  <c r="F123"/>
  <c r="F120"/>
  <c r="F118"/>
  <c r="F115"/>
  <c r="E115"/>
  <c r="D115"/>
  <c r="C115"/>
  <c r="B115"/>
  <c r="A115"/>
  <c r="E114"/>
  <c r="A114"/>
  <c r="E112"/>
  <c r="F106"/>
  <c r="F104"/>
  <c r="F100"/>
  <c r="F98"/>
  <c r="F96"/>
  <c r="F94"/>
  <c r="F92"/>
  <c r="F88"/>
  <c r="F86"/>
  <c r="F84"/>
  <c r="F78"/>
  <c r="F76"/>
  <c r="F72"/>
  <c r="F70"/>
  <c r="F66"/>
  <c r="E66"/>
  <c r="D66"/>
  <c r="C66"/>
  <c r="B66"/>
  <c r="A66"/>
  <c r="E65"/>
  <c r="A65"/>
  <c r="E63"/>
  <c r="F58"/>
  <c r="F56"/>
  <c r="F34"/>
  <c r="E34"/>
  <c r="D34"/>
  <c r="C34"/>
  <c r="B34"/>
  <c r="A34"/>
  <c r="E33"/>
  <c r="A33"/>
  <c r="E31"/>
  <c r="A30"/>
  <c r="F27"/>
  <c r="F25"/>
  <c r="F23"/>
  <c r="F17"/>
  <c r="E17"/>
  <c r="D17"/>
  <c r="C17"/>
  <c r="B17"/>
  <c r="A17"/>
  <c r="E16"/>
  <c r="A16"/>
  <c r="E14"/>
  <c r="F13"/>
  <c r="F30"/>
  <c r="F61"/>
  <c r="F110"/>
  <c r="F146"/>
  <c r="F162"/>
  <c r="A13"/>
  <c r="E4"/>
  <c r="E2"/>
  <c r="E30"/>
  <c r="E61"/>
  <c r="D20" i="8"/>
  <c r="D21"/>
  <c r="D18" i="3"/>
  <c r="E16" i="5"/>
  <c r="E20"/>
  <c r="F153" i="2"/>
  <c r="E42"/>
  <c r="F42"/>
  <c r="E40"/>
  <c r="F40"/>
  <c r="F186"/>
  <c r="I186"/>
  <c r="E13"/>
  <c r="C22" i="8"/>
  <c r="D22"/>
  <c r="I82" i="2"/>
  <c r="I109"/>
  <c r="I116"/>
  <c r="I145"/>
  <c r="I171"/>
  <c r="F155"/>
  <c r="F161"/>
  <c r="F172"/>
  <c r="D21" i="3"/>
  <c r="D37"/>
  <c r="D29"/>
  <c r="F54" i="2"/>
  <c r="D25" i="6"/>
  <c r="D12" i="3"/>
  <c r="E25" i="6"/>
  <c r="E26"/>
  <c r="E21" i="2"/>
  <c r="F21"/>
  <c r="J21"/>
  <c r="I60"/>
  <c r="D23" i="8"/>
  <c r="J82" i="2"/>
  <c r="F50"/>
  <c r="F46"/>
  <c r="J60"/>
  <c r="J170"/>
  <c r="E39" i="7"/>
  <c r="E38" i="3"/>
  <c r="E11" i="6"/>
  <c r="E19" i="2"/>
  <c r="F19"/>
  <c r="D40" i="3"/>
  <c r="F9" i="2"/>
  <c r="J109"/>
  <c r="K82"/>
  <c r="K21"/>
  <c r="J29"/>
  <c r="I170"/>
  <c r="K60"/>
  <c r="F82"/>
  <c r="F109"/>
  <c r="F116"/>
  <c r="F145"/>
  <c r="F171"/>
  <c r="D24" i="8"/>
  <c r="F29" i="2"/>
  <c r="F169"/>
  <c r="E38"/>
  <c r="F38"/>
  <c r="E40" i="7"/>
  <c r="D44" i="3"/>
  <c r="E7" i="2"/>
  <c r="F7"/>
  <c r="F12"/>
  <c r="E40" i="3"/>
  <c r="E39"/>
  <c r="J116" i="2"/>
  <c r="K109"/>
  <c r="J169"/>
  <c r="K29"/>
  <c r="K170"/>
  <c r="I173"/>
  <c r="F168"/>
  <c r="F60"/>
  <c r="F170"/>
  <c r="J145"/>
  <c r="K116"/>
  <c r="K169"/>
  <c r="I187"/>
  <c r="I188"/>
  <c r="I190"/>
  <c r="F173"/>
  <c r="J171"/>
  <c r="K145"/>
  <c r="F187"/>
  <c r="F188"/>
  <c r="F190"/>
  <c r="K171"/>
  <c r="J173"/>
  <c r="J187"/>
  <c r="J188"/>
  <c r="J190"/>
  <c r="K173"/>
  <c r="K190"/>
</calcChain>
</file>

<file path=xl/comments1.xml><?xml version="1.0" encoding="utf-8"?>
<comments xmlns="http://schemas.openxmlformats.org/spreadsheetml/2006/main">
  <authors>
    <author>Author</author>
  </authors>
  <commentList>
    <comment ref="D5" authorId="0">
      <text>
        <r>
          <rPr>
            <b/>
            <sz val="9"/>
            <color indexed="81"/>
            <rFont val="Calibri"/>
            <family val="2"/>
          </rPr>
          <t>Author:</t>
        </r>
        <r>
          <rPr>
            <sz val="9"/>
            <color indexed="81"/>
            <rFont val="Calibri"/>
            <family val="2"/>
          </rPr>
          <t xml:space="preserve">
Is this correct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E20" authorId="0">
      <text>
        <r>
          <rPr>
            <b/>
            <sz val="9"/>
            <color indexed="81"/>
            <rFont val="Tahoma"/>
            <family val="2"/>
          </rPr>
          <t>Hilary:</t>
        </r>
        <r>
          <rPr>
            <sz val="9"/>
            <color indexed="81"/>
            <rFont val="Tahoma"/>
            <family val="2"/>
          </rPr>
          <t xml:space="preserve">
Total inclusive margin</t>
        </r>
      </text>
    </comment>
  </commentList>
</comments>
</file>

<file path=xl/sharedStrings.xml><?xml version="1.0" encoding="utf-8"?>
<sst xmlns="http://schemas.openxmlformats.org/spreadsheetml/2006/main" count="734" uniqueCount="401">
  <si>
    <t xml:space="preserve">Margin </t>
  </si>
  <si>
    <t>Quantity</t>
  </si>
  <si>
    <t>Foreman</t>
  </si>
  <si>
    <t>Site Engineer</t>
  </si>
  <si>
    <t>Bill Boards</t>
  </si>
  <si>
    <t>Sub-Total</t>
  </si>
  <si>
    <t>Description of Works</t>
  </si>
  <si>
    <t>Amount (UGX)</t>
  </si>
  <si>
    <t>Bill of Quantities</t>
  </si>
  <si>
    <t>Page No.</t>
  </si>
  <si>
    <t>Bill 1: Site Preparatory Works</t>
  </si>
  <si>
    <t>Item</t>
  </si>
  <si>
    <t>Unit</t>
  </si>
  <si>
    <t>Qty</t>
  </si>
  <si>
    <t>Rate (UGX)</t>
  </si>
  <si>
    <t>Construction of access roads to quarry sites including their maintenance throughout the working period</t>
  </si>
  <si>
    <t>LS</t>
  </si>
  <si>
    <t xml:space="preserve">Construction of deviations including their maintenance throughout the working period </t>
  </si>
  <si>
    <t>Total Bill 1 (c.f. to Summary)</t>
  </si>
  <si>
    <t>Bill 2: Setting Out and Site Clearing Works</t>
  </si>
  <si>
    <t>(Re) Establishment of road alignment and setting out of road works</t>
  </si>
  <si>
    <t>m</t>
  </si>
  <si>
    <t>Clear site of all grass, bushes and boulders (up to 1.5m maximum girth) and Grub all roots of grass and bushes including excavation of top soil from road formation (Provisional)</t>
  </si>
  <si>
    <t>Extra over item 2.2 for boulders over 1.5m maximum girth.</t>
  </si>
  <si>
    <t>Daywork</t>
  </si>
  <si>
    <t>Cut and remove from site trees (up to 1 m girth),including removal of stumps and roots</t>
  </si>
  <si>
    <t>No</t>
  </si>
  <si>
    <t>Extra over Item 2.3 for trees over 1 metre in girth</t>
  </si>
  <si>
    <t>Total Bill 2 (c.f. to Summary)</t>
  </si>
  <si>
    <t>Bill 3: Earth Works</t>
  </si>
  <si>
    <t>Rehabilitation of existing road formation</t>
  </si>
  <si>
    <t>Reshaping of existing road formation including watering and compaction</t>
  </si>
  <si>
    <t>b) Opening / re-excavation of side, mitre, catch water and other spec. drains</t>
  </si>
  <si>
    <t>(Re-) Construction of road formation</t>
  </si>
  <si>
    <t>Excavation to level</t>
  </si>
  <si>
    <t>Excavation in side, mitre, catch water and other specified drains</t>
  </si>
  <si>
    <t>Form, water and compact road bed</t>
  </si>
  <si>
    <t>Provision of Fill Materials</t>
  </si>
  <si>
    <t>Preparation of Quarry Site consisting of clearing vegetation and removing topsoil</t>
  </si>
  <si>
    <t>Excavation of Rock</t>
  </si>
  <si>
    <t>Total Bill 3 (c.f. to Summary)</t>
  </si>
  <si>
    <t>Bill 4:  Drainage Works</t>
  </si>
  <si>
    <t>Provide and install scour checks:</t>
  </si>
  <si>
    <t>4.1.1</t>
  </si>
  <si>
    <t xml:space="preserve">Using stone </t>
  </si>
  <si>
    <t>No.</t>
  </si>
  <si>
    <t>4.1.2</t>
  </si>
  <si>
    <t>Using sticks</t>
  </si>
  <si>
    <t>Excavation of foundation for structures:</t>
  </si>
  <si>
    <t>4.2.1</t>
  </si>
  <si>
    <t>In soil not more than 1m deep</t>
  </si>
  <si>
    <t>4.2.2</t>
  </si>
  <si>
    <t xml:space="preserve">In soil more than 1m deep </t>
  </si>
  <si>
    <t>Supply and install concrete culvert pipe rings reinforced with BRC A 142:</t>
  </si>
  <si>
    <t>4.3.1</t>
  </si>
  <si>
    <t xml:space="preserve">Supply and install concrete culvert pipe rings of 600mm diameter </t>
  </si>
  <si>
    <t>4.3.2</t>
  </si>
  <si>
    <t xml:space="preserve">Supply and install concrete culvert pipe rings of 900mm diameter </t>
  </si>
  <si>
    <t>4.3.3</t>
  </si>
  <si>
    <t>1200mm diameter</t>
  </si>
  <si>
    <t>4.3.4</t>
  </si>
  <si>
    <t>450mm diameter</t>
  </si>
  <si>
    <t>Supply and install steel culvert pipe rings:</t>
  </si>
  <si>
    <t>4.4.1</t>
  </si>
  <si>
    <t>600mm diameter</t>
  </si>
  <si>
    <t>4.4.2</t>
  </si>
  <si>
    <t xml:space="preserve">900mm diameter </t>
  </si>
  <si>
    <t>4.4.3</t>
  </si>
  <si>
    <t>Supply and install steel culvert pipe rings 1200mm diameter</t>
  </si>
  <si>
    <t>4.4.4</t>
  </si>
  <si>
    <t xml:space="preserve">&gt;1200mm diameter </t>
  </si>
  <si>
    <t>Demolish existing structures and cart away debris</t>
  </si>
  <si>
    <t>Provide material and build cement bound masonry work in:</t>
  </si>
  <si>
    <t>4.6.1</t>
  </si>
  <si>
    <t>Stones</t>
  </si>
  <si>
    <t>4.6.2</t>
  </si>
  <si>
    <t>Concrete Blocks</t>
  </si>
  <si>
    <t>Carried forward to next page</t>
  </si>
  <si>
    <t>Bill 4:  Drainage Works (continued)</t>
  </si>
  <si>
    <t>Brought forward from previous page</t>
  </si>
  <si>
    <t xml:space="preserve">Provide stones &amp; build dry stone masonry walls </t>
  </si>
  <si>
    <t>Provide, erect &amp; remove formwork for concrete</t>
  </si>
  <si>
    <t>Provide and fix steel reinforcement:</t>
  </si>
  <si>
    <t>4.9.1</t>
  </si>
  <si>
    <t>Steel bars</t>
  </si>
  <si>
    <t>kg</t>
  </si>
  <si>
    <t>4.9.2</t>
  </si>
  <si>
    <t>Weld mesh</t>
  </si>
  <si>
    <t>Provide, place and compact hardcore foundation layer for structures</t>
  </si>
  <si>
    <t>Provide, cast and cure concrete in class:</t>
  </si>
  <si>
    <t>4.11.1</t>
  </si>
  <si>
    <t>Class lean (1:4:8)</t>
  </si>
  <si>
    <t>4.11.2</t>
  </si>
  <si>
    <t>Class 15 (1:3:6)</t>
  </si>
  <si>
    <t>4.11.3</t>
  </si>
  <si>
    <t>Class 20 (1:2:4)</t>
  </si>
  <si>
    <t>Provide gabion baskets and stones, place and fill baskets</t>
  </si>
  <si>
    <t>Provide materials and build grouted stone pitching, 150mm thickness</t>
  </si>
  <si>
    <t xml:space="preserve">Provide select material and backfill structures </t>
  </si>
  <si>
    <t>Excavate water diversions and/or construct barriers(Provisional)</t>
  </si>
  <si>
    <t>Clear swamps for structures, 50m upstream from inlet and 100m downstream from outlet of structure over full width of structure including head and wingwalls(Provisional)</t>
  </si>
  <si>
    <t>Other drainage erosion protection works as directed by the Engineer  -  Provisional  Item</t>
  </si>
  <si>
    <t>Total Bill 4 (c.f. to Collection for Bill 4)</t>
  </si>
  <si>
    <t>Bill 5:  Gravelling and Completion Works</t>
  </si>
  <si>
    <t>Preparation of quarry site consisting of clearing vegetation and removing topsoil.</t>
  </si>
  <si>
    <t>Excavate gravel, remove boulders, stockpile, load, haul, offload, spread, water and compact in place</t>
  </si>
  <si>
    <t xml:space="preserve">Restoration of site(s), quarries and borrow pits. </t>
  </si>
  <si>
    <t>Total Bill 5 (c.f. to Summary)</t>
  </si>
  <si>
    <t>Bill 6:  Summary</t>
  </si>
  <si>
    <t>Bill</t>
  </si>
  <si>
    <t>Description</t>
  </si>
  <si>
    <t>Amount (Ush)</t>
  </si>
  <si>
    <t>Site Preparatory Works</t>
  </si>
  <si>
    <t>Setting out and Site Clearing Works</t>
  </si>
  <si>
    <t>Earth Works</t>
  </si>
  <si>
    <t>Drainage Works</t>
  </si>
  <si>
    <t>Gravelling and Completion Works</t>
  </si>
  <si>
    <t>Total for Roadworks</t>
  </si>
  <si>
    <t>Qty.</t>
  </si>
  <si>
    <t>Rate (Ush)</t>
  </si>
  <si>
    <t>PRELIMINARY AND GENERAL ITEMS</t>
  </si>
  <si>
    <t>Mobilisation and Demobilisation</t>
  </si>
  <si>
    <t>Insurances and Bonds</t>
  </si>
  <si>
    <t>Traffic Accommodation</t>
  </si>
  <si>
    <t>Maintenance of the Whole of the Works</t>
  </si>
  <si>
    <t>Supervision of the Project by the Employer</t>
  </si>
  <si>
    <t>Site Meetings with Local Communities</t>
  </si>
  <si>
    <t>Allow for sign posts</t>
  </si>
  <si>
    <t>Supply approved tree seedling, plant at 20 m intervals on one sides of the Road to Engineer's instruction, protect, water and maintain throughout the contract period</t>
  </si>
  <si>
    <t xml:space="preserve"> </t>
  </si>
  <si>
    <t>Total P &amp; G</t>
  </si>
  <si>
    <t>SUBTOTAL 2</t>
  </si>
  <si>
    <t>PROVISIONAL 5% FOR CONTINGENCIES</t>
  </si>
  <si>
    <t>TOTAL (Carried to Grand Summary)</t>
  </si>
  <si>
    <t>One kms from site (LS)</t>
  </si>
  <si>
    <t>Rate</t>
  </si>
  <si>
    <t>Cost</t>
  </si>
  <si>
    <t>Fuel</t>
  </si>
  <si>
    <t>Machine operator</t>
  </si>
  <si>
    <t>Technician</t>
  </si>
  <si>
    <t>Scarifying (3 times)</t>
  </si>
  <si>
    <t>Grader hire</t>
  </si>
  <si>
    <t>Compactor hire</t>
  </si>
  <si>
    <t>Operator</t>
  </si>
  <si>
    <t>Water bouser</t>
  </si>
  <si>
    <t>1.1 Construction of access roads to quarry sites</t>
  </si>
  <si>
    <t>1.2 Diversions and their maintenance</t>
  </si>
  <si>
    <t>Not applicable</t>
  </si>
  <si>
    <t>One km</t>
  </si>
  <si>
    <t>Surveyor</t>
  </si>
  <si>
    <t>Lab Technician</t>
  </si>
  <si>
    <t xml:space="preserve">2.2. Clear site of all grass, bushes and boulders (up to 1.5m maximum girth) and Grub all roots of grass and bushes including excavation of top soil from road formation </t>
  </si>
  <si>
    <t>(De)Mobilisation</t>
  </si>
  <si>
    <t>Margin</t>
  </si>
  <si>
    <t>TOTAL</t>
  </si>
  <si>
    <t>3.1.1 Reshaping of the existing road formation including watering and compaction</t>
  </si>
  <si>
    <t>Grader Hire</t>
  </si>
  <si>
    <t>3.1  Rehabilitation of existing road formation</t>
  </si>
  <si>
    <t>a) Removal of chocked culverts</t>
  </si>
  <si>
    <t>3.1.2 (a) Removal of choked culverts</t>
  </si>
  <si>
    <t>Backhoe hire</t>
  </si>
  <si>
    <t>3.2. Reconstruction of road formation</t>
  </si>
  <si>
    <t>3.2.1 Excavation to level</t>
  </si>
  <si>
    <t>Sb-Total</t>
  </si>
  <si>
    <t>Inspector</t>
  </si>
  <si>
    <t>3.2.2 Excavation in side, mitre, catch water and other specifiec drains</t>
  </si>
  <si>
    <t>Backhoe Hire</t>
  </si>
  <si>
    <t>3.2.3 Form , water and compact road bed</t>
  </si>
  <si>
    <t>D4 Compactor Hire</t>
  </si>
  <si>
    <t>Water Brouser Hire</t>
  </si>
  <si>
    <t>3.3 Provision of Fill Material</t>
  </si>
  <si>
    <t>3.3.1 Preparatory of quarry site consisting of removal of vegetation and topsoil</t>
  </si>
  <si>
    <t>Grader Hire(days)</t>
  </si>
  <si>
    <t>3.3.2 Excavation, hauling</t>
  </si>
  <si>
    <t>Excavation, hauling.</t>
  </si>
  <si>
    <t>Loader Hire(days)</t>
  </si>
  <si>
    <t>Fuel @</t>
  </si>
  <si>
    <t>Trucks Hire(Days)</t>
  </si>
  <si>
    <t>5 Gravelling and Completion Works</t>
  </si>
  <si>
    <t>5.1 Preparatory of quarry site consisting of removal of vegetation and topsoil</t>
  </si>
  <si>
    <t>5.2 Excavation of gravel, remove boulders, stockpile, load, haul, offload</t>
  </si>
  <si>
    <t>Spread, water and compact in place</t>
  </si>
  <si>
    <t>Grader Hire (days)</t>
  </si>
  <si>
    <t>D4 Compactor Hire(days)</t>
  </si>
  <si>
    <t>Water Brouser Hire(days)</t>
  </si>
  <si>
    <t>GRAND TOTAL</t>
  </si>
  <si>
    <t>4.3.2 Supply and install concrete culvert pipe rings of 600mm diameter</t>
  </si>
  <si>
    <t>Culverts</t>
  </si>
  <si>
    <t>Cement(bags)</t>
  </si>
  <si>
    <t>Rolled iron bars(pcs)</t>
  </si>
  <si>
    <t>Weld mash</t>
  </si>
  <si>
    <t>Sand(Tonnage)</t>
  </si>
  <si>
    <t>1. Site Preparatory Works</t>
  </si>
  <si>
    <t>1.2 Access road maintenance (Seven days)</t>
  </si>
  <si>
    <t xml:space="preserve">Magege Kanushu Road </t>
  </si>
  <si>
    <r>
      <t xml:space="preserve">1.1 </t>
    </r>
    <r>
      <rPr>
        <sz val="8"/>
        <rFont val="Arial"/>
        <family val="2"/>
      </rPr>
      <t>(MBC)</t>
    </r>
  </si>
  <si>
    <r>
      <t xml:space="preserve">1.2 </t>
    </r>
    <r>
      <rPr>
        <sz val="8"/>
        <rFont val="Arial"/>
        <family val="2"/>
      </rPr>
      <t>(MBC)</t>
    </r>
  </si>
  <si>
    <r>
      <t xml:space="preserve">2.1 </t>
    </r>
    <r>
      <rPr>
        <sz val="8"/>
        <rFont val="Arial"/>
        <family val="2"/>
      </rPr>
      <t>(AWD)</t>
    </r>
  </si>
  <si>
    <r>
      <t xml:space="preserve">2.2 </t>
    </r>
    <r>
      <rPr>
        <sz val="8"/>
        <rFont val="Arial"/>
        <family val="2"/>
      </rPr>
      <t>(AWD)</t>
    </r>
  </si>
  <si>
    <r>
      <t>2.2.1</t>
    </r>
    <r>
      <rPr>
        <sz val="8"/>
        <rFont val="Arial"/>
        <family val="2"/>
      </rPr>
      <t xml:space="preserve"> (AWD)</t>
    </r>
  </si>
  <si>
    <r>
      <t xml:space="preserve">2.3 </t>
    </r>
    <r>
      <rPr>
        <sz val="8"/>
        <rFont val="Arial"/>
        <family val="2"/>
      </rPr>
      <t>(MBC)</t>
    </r>
  </si>
  <si>
    <r>
      <t xml:space="preserve">2.3.1 </t>
    </r>
    <r>
      <rPr>
        <sz val="8"/>
        <rFont val="Arial"/>
        <family val="2"/>
      </rPr>
      <t>(MBC)</t>
    </r>
  </si>
  <si>
    <r>
      <t xml:space="preserve">3.1.1 </t>
    </r>
    <r>
      <rPr>
        <sz val="8"/>
        <rFont val="Arial"/>
        <family val="2"/>
      </rPr>
      <t>(AWD)</t>
    </r>
  </si>
  <si>
    <r>
      <t xml:space="preserve">3.1.2 </t>
    </r>
    <r>
      <rPr>
        <sz val="8"/>
        <rFont val="Arial"/>
        <family val="2"/>
      </rPr>
      <t>(AWD)</t>
    </r>
  </si>
  <si>
    <r>
      <t xml:space="preserve">3.2.1 </t>
    </r>
    <r>
      <rPr>
        <sz val="8"/>
        <rFont val="Arial"/>
        <family val="2"/>
      </rPr>
      <t>(MBC)</t>
    </r>
  </si>
  <si>
    <r>
      <t>m</t>
    </r>
    <r>
      <rPr>
        <vertAlign val="superscript"/>
        <sz val="10"/>
        <rFont val="Arial"/>
        <family val="2"/>
      </rPr>
      <t>3</t>
    </r>
  </si>
  <si>
    <r>
      <t xml:space="preserve">3.2.2 </t>
    </r>
    <r>
      <rPr>
        <sz val="8"/>
        <rFont val="Arial"/>
        <family val="2"/>
      </rPr>
      <t>(AWD)</t>
    </r>
  </si>
  <si>
    <r>
      <t xml:space="preserve">3.2.3 </t>
    </r>
    <r>
      <rPr>
        <sz val="8"/>
        <rFont val="Arial"/>
        <family val="2"/>
      </rPr>
      <t>(AWD)</t>
    </r>
  </si>
  <si>
    <r>
      <t xml:space="preserve">3.3.1 </t>
    </r>
    <r>
      <rPr>
        <sz val="8"/>
        <rFont val="Arial"/>
        <family val="2"/>
      </rPr>
      <t>(AWD)</t>
    </r>
  </si>
  <si>
    <r>
      <t>m</t>
    </r>
    <r>
      <rPr>
        <vertAlign val="superscript"/>
        <sz val="10"/>
        <rFont val="Arial"/>
        <family val="2"/>
      </rPr>
      <t>2</t>
    </r>
  </si>
  <si>
    <r>
      <t xml:space="preserve">3.3.2 </t>
    </r>
    <r>
      <rPr>
        <sz val="8"/>
        <rFont val="Arial"/>
        <family val="2"/>
      </rPr>
      <t>(AWD)</t>
    </r>
  </si>
  <si>
    <r>
      <t xml:space="preserve">3.4 </t>
    </r>
    <r>
      <rPr>
        <sz val="8"/>
        <rFont val="Arial"/>
        <family val="2"/>
      </rPr>
      <t>(AWD)</t>
    </r>
  </si>
  <si>
    <r>
      <t xml:space="preserve">4.1 </t>
    </r>
    <r>
      <rPr>
        <sz val="8"/>
        <rFont val="Arial"/>
        <family val="2"/>
      </rPr>
      <t>(AWD)</t>
    </r>
  </si>
  <si>
    <r>
      <t xml:space="preserve">4.2 </t>
    </r>
    <r>
      <rPr>
        <sz val="8"/>
        <rFont val="Arial"/>
        <family val="2"/>
      </rPr>
      <t>(AWD)</t>
    </r>
  </si>
  <si>
    <r>
      <t xml:space="preserve">4.3 </t>
    </r>
    <r>
      <rPr>
        <sz val="8"/>
        <rFont val="Arial"/>
        <family val="2"/>
      </rPr>
      <t>(AWD)</t>
    </r>
  </si>
  <si>
    <r>
      <t xml:space="preserve">4.4 </t>
    </r>
    <r>
      <rPr>
        <sz val="8"/>
        <rFont val="Arial"/>
        <family val="2"/>
      </rPr>
      <t>(AWD)</t>
    </r>
  </si>
  <si>
    <r>
      <t xml:space="preserve">4.5 </t>
    </r>
    <r>
      <rPr>
        <sz val="8"/>
        <rFont val="Arial"/>
        <family val="2"/>
      </rPr>
      <t>(MBC)</t>
    </r>
  </si>
  <si>
    <r>
      <t xml:space="preserve">4.6 </t>
    </r>
    <r>
      <rPr>
        <sz val="7"/>
        <rFont val="Arial"/>
        <family val="2"/>
      </rPr>
      <t>(MAP/AWD)</t>
    </r>
  </si>
  <si>
    <r>
      <t xml:space="preserve">4.7 </t>
    </r>
    <r>
      <rPr>
        <sz val="8"/>
        <rFont val="Arial"/>
        <family val="2"/>
      </rPr>
      <t>(MAP/AWD)</t>
    </r>
  </si>
  <si>
    <r>
      <t xml:space="preserve">4.8 </t>
    </r>
    <r>
      <rPr>
        <sz val="8"/>
        <rFont val="Arial"/>
        <family val="2"/>
      </rPr>
      <t>(MAP/AWD)</t>
    </r>
  </si>
  <si>
    <r>
      <t xml:space="preserve">4.9 </t>
    </r>
    <r>
      <rPr>
        <sz val="8"/>
        <rFont val="Arial"/>
        <family val="2"/>
      </rPr>
      <t>(MAP/AWD)</t>
    </r>
  </si>
  <si>
    <r>
      <t xml:space="preserve">4.10 </t>
    </r>
    <r>
      <rPr>
        <sz val="8"/>
        <rFont val="Arial"/>
        <family val="2"/>
      </rPr>
      <t>(MAP/AWD)</t>
    </r>
  </si>
  <si>
    <r>
      <t xml:space="preserve">4.11 </t>
    </r>
    <r>
      <rPr>
        <sz val="8"/>
        <rFont val="Arial"/>
        <family val="2"/>
      </rPr>
      <t>(MAP/AWD)</t>
    </r>
  </si>
  <si>
    <r>
      <t xml:space="preserve">4.12 </t>
    </r>
    <r>
      <rPr>
        <sz val="8"/>
        <rFont val="Arial"/>
        <family val="2"/>
      </rPr>
      <t>(AWD)</t>
    </r>
  </si>
  <si>
    <r>
      <t xml:space="preserve">4.13 </t>
    </r>
    <r>
      <rPr>
        <sz val="8"/>
        <rFont val="Arial"/>
        <family val="2"/>
      </rPr>
      <t>(MAP/AWD)</t>
    </r>
  </si>
  <si>
    <r>
      <t xml:space="preserve">4.14 </t>
    </r>
    <r>
      <rPr>
        <sz val="8"/>
        <rFont val="Arial"/>
        <family val="2"/>
      </rPr>
      <t>(MAP/AWD)</t>
    </r>
  </si>
  <si>
    <r>
      <t xml:space="preserve">4.15 </t>
    </r>
    <r>
      <rPr>
        <sz val="8"/>
        <rFont val="Arial"/>
        <family val="2"/>
      </rPr>
      <t>(AWD)</t>
    </r>
  </si>
  <si>
    <r>
      <t xml:space="preserve">4.16 </t>
    </r>
    <r>
      <rPr>
        <sz val="8"/>
        <rFont val="Arial"/>
        <family val="2"/>
      </rPr>
      <t>(AWD)</t>
    </r>
  </si>
  <si>
    <r>
      <t>5.1 (</t>
    </r>
    <r>
      <rPr>
        <sz val="8"/>
        <rFont val="Arial"/>
        <family val="2"/>
      </rPr>
      <t>AWD)</t>
    </r>
  </si>
  <si>
    <r>
      <t xml:space="preserve">5.2 </t>
    </r>
    <r>
      <rPr>
        <sz val="8"/>
        <rFont val="Arial"/>
        <family val="2"/>
      </rPr>
      <t>(AWD)</t>
    </r>
  </si>
  <si>
    <r>
      <t xml:space="preserve">5.3 </t>
    </r>
    <r>
      <rPr>
        <sz val="8"/>
        <rFont val="Arial"/>
        <family val="2"/>
      </rPr>
      <t>(AWD)</t>
    </r>
  </si>
  <si>
    <t xml:space="preserve">Cost Element </t>
  </si>
  <si>
    <t xml:space="preserve">Quantity </t>
  </si>
  <si>
    <t xml:space="preserve">Rate </t>
  </si>
  <si>
    <t xml:space="preserve">Cement </t>
  </si>
  <si>
    <t xml:space="preserve">Sand </t>
  </si>
  <si>
    <t xml:space="preserve">Water </t>
  </si>
  <si>
    <t xml:space="preserve">Direct Labor: </t>
  </si>
  <si>
    <t xml:space="preserve">Mason </t>
  </si>
  <si>
    <t xml:space="preserve">Labourer </t>
  </si>
  <si>
    <t xml:space="preserve">Direct Expenses </t>
  </si>
  <si>
    <t xml:space="preserve">Transport </t>
  </si>
  <si>
    <t xml:space="preserve">Excavation </t>
  </si>
  <si>
    <t xml:space="preserve">Overheads (15% of direct cost) </t>
  </si>
  <si>
    <t xml:space="preserve">Total  </t>
  </si>
  <si>
    <t xml:space="preserve">Rate  (Price) </t>
  </si>
  <si>
    <t xml:space="preserve">Unit Cost/Price </t>
  </si>
  <si>
    <t>Direct Material</t>
  </si>
  <si>
    <t>Stones (Hard core)</t>
  </si>
  <si>
    <t xml:space="preserve">Tonnage </t>
  </si>
  <si>
    <t>Kgs</t>
  </si>
  <si>
    <t xml:space="preserve">Cubic Litres </t>
  </si>
  <si>
    <t xml:space="preserve">Hours </t>
  </si>
  <si>
    <t>cubic Metre</t>
  </si>
  <si>
    <t>Total  Direct Cost</t>
  </si>
  <si>
    <t>Mileage (km/hr)</t>
  </si>
  <si>
    <t>sqmetre</t>
  </si>
  <si>
    <t>Labour/sqm</t>
  </si>
  <si>
    <t>Admnistrative overhead</t>
  </si>
  <si>
    <t>Administrative overheads</t>
  </si>
  <si>
    <t>Watering ( 3 times a day)</t>
  </si>
  <si>
    <t>Sub-Total - Maintenance Cost per week</t>
  </si>
  <si>
    <t>Key Assumptions</t>
  </si>
  <si>
    <t>The administration overheads are 7.5% of cost of works</t>
  </si>
  <si>
    <t>The work will be done and completed within a week</t>
  </si>
  <si>
    <t>Total for Construction and Maintenance:</t>
  </si>
  <si>
    <t>Per day</t>
  </si>
  <si>
    <t>Activity</t>
  </si>
  <si>
    <t xml:space="preserve">Unit </t>
  </si>
  <si>
    <t>Expected Daily Task Range</t>
  </si>
  <si>
    <t>Rate per day (shs)</t>
  </si>
  <si>
    <t>Cost per unit (shs)</t>
  </si>
  <si>
    <t xml:space="preserve">Setting out </t>
  </si>
  <si>
    <t>METRE</t>
  </si>
  <si>
    <t xml:space="preserve">Bush clearing – light </t>
  </si>
  <si>
    <t>SQUARE METRE</t>
  </si>
  <si>
    <t xml:space="preserve">Bush clearing - medium </t>
  </si>
  <si>
    <t xml:space="preserve">Bush clearing – heavy </t>
  </si>
  <si>
    <r>
      <t>Stripping and grubbing m</t>
    </r>
    <r>
      <rPr>
        <sz val="6.5"/>
        <color theme="1"/>
        <rFont val="Arial"/>
        <family val="2"/>
      </rPr>
      <t xml:space="preserve">3 </t>
    </r>
    <r>
      <rPr>
        <sz val="10"/>
        <color theme="1"/>
        <rFont val="Arial"/>
        <family val="2"/>
      </rPr>
      <t>175 m</t>
    </r>
    <r>
      <rPr>
        <sz val="6.5"/>
        <color theme="1"/>
        <rFont val="Arial"/>
        <family val="2"/>
      </rPr>
      <t>3</t>
    </r>
    <r>
      <rPr>
        <sz val="10"/>
        <color theme="1"/>
        <rFont val="Arial"/>
        <family val="2"/>
      </rPr>
      <t>/wd</t>
    </r>
  </si>
  <si>
    <t>CUBIC METRE</t>
  </si>
  <si>
    <t>Tree cutting No. -</t>
  </si>
  <si>
    <t>EACH</t>
  </si>
  <si>
    <t>Stump removal No. -</t>
  </si>
  <si>
    <t>Boulder removal - Day work</t>
  </si>
  <si>
    <t xml:space="preserve">Excavate ordinary soft soil </t>
  </si>
  <si>
    <t xml:space="preserve">Excavate ordinary medium soil </t>
  </si>
  <si>
    <t>do</t>
  </si>
  <si>
    <t>Excavate hard soil</t>
  </si>
  <si>
    <t xml:space="preserve">Excavate very hard soil </t>
  </si>
  <si>
    <t xml:space="preserve">Excavate rock </t>
  </si>
  <si>
    <r>
      <t>Haul material using wheelbarrows; 0 – 20 m m</t>
    </r>
    <r>
      <rPr>
        <sz val="6.5"/>
        <color theme="1"/>
        <rFont val="Arial"/>
        <family val="2"/>
      </rPr>
      <t xml:space="preserve">3 </t>
    </r>
    <r>
      <rPr>
        <sz val="10"/>
        <color theme="1"/>
        <rFont val="Arial"/>
        <family val="2"/>
      </rPr>
      <t>8.5 m</t>
    </r>
    <r>
      <rPr>
        <sz val="6.5"/>
        <color theme="1"/>
        <rFont val="Arial"/>
        <family val="2"/>
      </rPr>
      <t>3</t>
    </r>
    <r>
      <rPr>
        <sz val="10"/>
        <color theme="1"/>
        <rFont val="Arial"/>
        <family val="2"/>
      </rPr>
      <t>/wd</t>
    </r>
  </si>
  <si>
    <r>
      <t>Haul material using wheelbarrows; 20 – 40 m m</t>
    </r>
    <r>
      <rPr>
        <sz val="6.5"/>
        <color theme="1"/>
        <rFont val="Arial"/>
        <family val="2"/>
      </rPr>
      <t xml:space="preserve">3 </t>
    </r>
    <r>
      <rPr>
        <sz val="10"/>
        <color theme="1"/>
        <rFont val="Arial"/>
        <family val="2"/>
      </rPr>
      <t>7.0 m</t>
    </r>
    <r>
      <rPr>
        <sz val="6.5"/>
        <color theme="1"/>
        <rFont val="Arial"/>
        <family val="2"/>
      </rPr>
      <t>3</t>
    </r>
    <r>
      <rPr>
        <sz val="10"/>
        <color theme="1"/>
        <rFont val="Arial"/>
        <family val="2"/>
      </rPr>
      <t>/wd</t>
    </r>
  </si>
  <si>
    <r>
      <t>Haul material using wheelbarrows; 40 – 60 m m</t>
    </r>
    <r>
      <rPr>
        <sz val="6.5"/>
        <color theme="1"/>
        <rFont val="Arial"/>
        <family val="2"/>
      </rPr>
      <t xml:space="preserve">3 </t>
    </r>
    <r>
      <rPr>
        <sz val="10"/>
        <color theme="1"/>
        <rFont val="Arial"/>
        <family val="2"/>
      </rPr>
      <t>6.5 m</t>
    </r>
    <r>
      <rPr>
        <sz val="6.5"/>
        <color theme="1"/>
        <rFont val="Arial"/>
        <family val="2"/>
      </rPr>
      <t>3</t>
    </r>
    <r>
      <rPr>
        <sz val="10"/>
        <color theme="1"/>
        <rFont val="Arial"/>
        <family val="2"/>
      </rPr>
      <t>/wd</t>
    </r>
  </si>
  <si>
    <r>
      <t>Haul material using wheelbarrows; 60 – 80 m m</t>
    </r>
    <r>
      <rPr>
        <sz val="6.5"/>
        <color theme="1"/>
        <rFont val="Arial"/>
        <family val="2"/>
      </rPr>
      <t xml:space="preserve">3 </t>
    </r>
    <r>
      <rPr>
        <sz val="10"/>
        <color theme="1"/>
        <rFont val="Arial"/>
        <family val="2"/>
      </rPr>
      <t>5.5 m</t>
    </r>
    <r>
      <rPr>
        <sz val="6.5"/>
        <color theme="1"/>
        <rFont val="Arial"/>
        <family val="2"/>
      </rPr>
      <t>3</t>
    </r>
    <r>
      <rPr>
        <sz val="10"/>
        <color theme="1"/>
        <rFont val="Arial"/>
        <family val="2"/>
      </rPr>
      <t>/wd</t>
    </r>
  </si>
  <si>
    <r>
      <t>Haul material using wheelbarrows; 80 – 100 m m</t>
    </r>
    <r>
      <rPr>
        <sz val="6.5"/>
        <color theme="1"/>
        <rFont val="Arial"/>
        <family val="2"/>
      </rPr>
      <t xml:space="preserve">3 </t>
    </r>
    <r>
      <rPr>
        <sz val="10"/>
        <color theme="1"/>
        <rFont val="Arial"/>
        <family val="2"/>
      </rPr>
      <t>5.0 m</t>
    </r>
    <r>
      <rPr>
        <sz val="6.5"/>
        <color theme="1"/>
        <rFont val="Arial"/>
        <family val="2"/>
      </rPr>
      <t>3</t>
    </r>
    <r>
      <rPr>
        <sz val="10"/>
        <color theme="1"/>
        <rFont val="Arial"/>
        <family val="2"/>
      </rPr>
      <t>/wd</t>
    </r>
  </si>
  <si>
    <r>
      <t>Haul material using wheelbarrows; 100 – 150 m m</t>
    </r>
    <r>
      <rPr>
        <sz val="6.5"/>
        <color theme="1"/>
        <rFont val="Arial"/>
        <family val="2"/>
      </rPr>
      <t xml:space="preserve">3 </t>
    </r>
    <r>
      <rPr>
        <sz val="10"/>
        <color theme="1"/>
        <rFont val="Arial"/>
        <family val="2"/>
      </rPr>
      <t>4.5 m</t>
    </r>
    <r>
      <rPr>
        <sz val="6.5"/>
        <color theme="1"/>
        <rFont val="Arial"/>
        <family val="2"/>
      </rPr>
      <t>3</t>
    </r>
    <r>
      <rPr>
        <sz val="10"/>
        <color theme="1"/>
        <rFont val="Arial"/>
        <family val="2"/>
      </rPr>
      <t>/wd</t>
    </r>
  </si>
  <si>
    <r>
      <t>Camber formation m</t>
    </r>
    <r>
      <rPr>
        <sz val="6.5"/>
        <color theme="1"/>
        <rFont val="Arial"/>
        <family val="2"/>
      </rPr>
      <t xml:space="preserve">2 </t>
    </r>
    <r>
      <rPr>
        <sz val="10"/>
        <color theme="1"/>
        <rFont val="Arial"/>
        <family val="2"/>
      </rPr>
      <t>120-150 m</t>
    </r>
    <r>
      <rPr>
        <sz val="6.5"/>
        <color theme="1"/>
        <rFont val="Arial"/>
        <family val="2"/>
      </rPr>
      <t>2</t>
    </r>
    <r>
      <rPr>
        <sz val="10"/>
        <color theme="1"/>
        <rFont val="Arial"/>
        <family val="2"/>
      </rPr>
      <t>/wd</t>
    </r>
  </si>
  <si>
    <r>
      <t>Excavate gravel m</t>
    </r>
    <r>
      <rPr>
        <sz val="6.5"/>
        <color theme="1"/>
        <rFont val="Arial"/>
        <family val="2"/>
      </rPr>
      <t xml:space="preserve">3 </t>
    </r>
    <r>
      <rPr>
        <sz val="10"/>
        <color theme="1"/>
        <rFont val="Arial"/>
        <family val="2"/>
      </rPr>
      <t>1.5–3 m</t>
    </r>
    <r>
      <rPr>
        <sz val="6.5"/>
        <color theme="1"/>
        <rFont val="Arial"/>
        <family val="2"/>
      </rPr>
      <t>3</t>
    </r>
    <r>
      <rPr>
        <sz val="10"/>
        <color theme="1"/>
        <rFont val="Arial"/>
        <family val="2"/>
      </rPr>
      <t>/wd</t>
    </r>
  </si>
  <si>
    <r>
      <t>Load gravel m</t>
    </r>
    <r>
      <rPr>
        <sz val="6.5"/>
        <color theme="1"/>
        <rFont val="Arial"/>
        <family val="2"/>
      </rPr>
      <t xml:space="preserve">3 </t>
    </r>
    <r>
      <rPr>
        <sz val="10"/>
        <color theme="1"/>
        <rFont val="Arial"/>
        <family val="2"/>
      </rPr>
      <t>6-9 m</t>
    </r>
    <r>
      <rPr>
        <sz val="6.5"/>
        <color theme="1"/>
        <rFont val="Arial"/>
        <family val="2"/>
      </rPr>
      <t>3</t>
    </r>
    <r>
      <rPr>
        <sz val="10"/>
        <color theme="1"/>
        <rFont val="Arial"/>
        <family val="2"/>
      </rPr>
      <t>/wd</t>
    </r>
  </si>
  <si>
    <r>
      <t>Off-load and spread gravel m</t>
    </r>
    <r>
      <rPr>
        <sz val="6.5"/>
        <color theme="1"/>
        <rFont val="Arial"/>
        <family val="2"/>
      </rPr>
      <t xml:space="preserve">3 </t>
    </r>
    <r>
      <rPr>
        <sz val="10"/>
        <color theme="1"/>
        <rFont val="Arial"/>
        <family val="2"/>
      </rPr>
      <t>15-25 m</t>
    </r>
    <r>
      <rPr>
        <sz val="6.5"/>
        <color theme="1"/>
        <rFont val="Arial"/>
        <family val="2"/>
      </rPr>
      <t>3</t>
    </r>
    <r>
      <rPr>
        <sz val="10"/>
        <color theme="1"/>
        <rFont val="Arial"/>
        <family val="2"/>
      </rPr>
      <t>/wd</t>
    </r>
  </si>
  <si>
    <t>Erect scour checks (stone or sticks) No. 3-5 no/wd</t>
  </si>
  <si>
    <r>
      <t>Collect stones and stockpile m</t>
    </r>
    <r>
      <rPr>
        <sz val="6.5"/>
        <color theme="1"/>
        <rFont val="Arial"/>
        <family val="2"/>
      </rPr>
      <t xml:space="preserve">3 </t>
    </r>
    <r>
      <rPr>
        <sz val="10"/>
        <color theme="1"/>
        <rFont val="Arial"/>
        <family val="2"/>
      </rPr>
      <t>3-4 m</t>
    </r>
    <r>
      <rPr>
        <sz val="6.5"/>
        <color theme="1"/>
        <rFont val="Arial"/>
        <family val="2"/>
      </rPr>
      <t>3</t>
    </r>
    <r>
      <rPr>
        <sz val="10"/>
        <color theme="1"/>
        <rFont val="Arial"/>
        <family val="2"/>
      </rPr>
      <t>/wd</t>
    </r>
  </si>
  <si>
    <r>
      <t>Mix and place concrete m</t>
    </r>
    <r>
      <rPr>
        <sz val="6.5"/>
        <color theme="1"/>
        <rFont val="Arial"/>
        <family val="2"/>
      </rPr>
      <t xml:space="preserve">3 </t>
    </r>
    <r>
      <rPr>
        <sz val="10"/>
        <color theme="1"/>
        <rFont val="Arial"/>
        <family val="2"/>
      </rPr>
      <t>0.5-1 m</t>
    </r>
    <r>
      <rPr>
        <sz val="6.5"/>
        <color theme="1"/>
        <rFont val="Arial"/>
        <family val="2"/>
      </rPr>
      <t>3</t>
    </r>
    <r>
      <rPr>
        <sz val="10"/>
        <color theme="1"/>
        <rFont val="Arial"/>
        <family val="2"/>
      </rPr>
      <t>/wd</t>
    </r>
  </si>
  <si>
    <r>
      <t>Cement masonry work m</t>
    </r>
    <r>
      <rPr>
        <sz val="6.5"/>
        <color theme="1"/>
        <rFont val="Arial"/>
        <family val="2"/>
      </rPr>
      <t xml:space="preserve">3 </t>
    </r>
    <r>
      <rPr>
        <sz val="10"/>
        <color theme="1"/>
        <rFont val="Arial"/>
        <family val="2"/>
      </rPr>
      <t>0.5-1.5 m</t>
    </r>
    <r>
      <rPr>
        <sz val="6.5"/>
        <color theme="1"/>
        <rFont val="Arial"/>
        <family val="2"/>
      </rPr>
      <t>3</t>
    </r>
    <r>
      <rPr>
        <sz val="10"/>
        <color theme="1"/>
        <rFont val="Arial"/>
        <family val="2"/>
      </rPr>
      <t>/wd</t>
    </r>
  </si>
  <si>
    <r>
      <t>Dry masonry work m</t>
    </r>
    <r>
      <rPr>
        <sz val="6.5"/>
        <color theme="1"/>
        <rFont val="Arial"/>
        <family val="2"/>
      </rPr>
      <t xml:space="preserve">3 </t>
    </r>
    <r>
      <rPr>
        <sz val="10"/>
        <color theme="1"/>
        <rFont val="Arial"/>
        <family val="2"/>
      </rPr>
      <t>1-2 m</t>
    </r>
    <r>
      <rPr>
        <sz val="6.5"/>
        <color theme="1"/>
        <rFont val="Arial"/>
        <family val="2"/>
      </rPr>
      <t>3</t>
    </r>
    <r>
      <rPr>
        <sz val="10"/>
        <color theme="1"/>
        <rFont val="Arial"/>
        <family val="2"/>
      </rPr>
      <t>/wd</t>
    </r>
  </si>
  <si>
    <r>
      <t>Cement bound stone pitching m</t>
    </r>
    <r>
      <rPr>
        <sz val="6.5"/>
        <color theme="1"/>
        <rFont val="Arial"/>
        <family val="2"/>
      </rPr>
      <t xml:space="preserve">2 </t>
    </r>
    <r>
      <rPr>
        <sz val="10"/>
        <color theme="1"/>
        <rFont val="Arial"/>
        <family val="2"/>
      </rPr>
      <t>4-8 m</t>
    </r>
    <r>
      <rPr>
        <sz val="6.5"/>
        <color theme="1"/>
        <rFont val="Arial"/>
        <family val="2"/>
      </rPr>
      <t>2</t>
    </r>
    <r>
      <rPr>
        <sz val="10"/>
        <color theme="1"/>
        <rFont val="Arial"/>
        <family val="2"/>
      </rPr>
      <t>/wd</t>
    </r>
  </si>
  <si>
    <t>Rate/unit</t>
  </si>
  <si>
    <t>Labour</t>
  </si>
  <si>
    <t>Machine hire</t>
  </si>
  <si>
    <t>Direct expenses -Equipment</t>
  </si>
  <si>
    <t>Materials</t>
  </si>
  <si>
    <t>Margin 30%</t>
  </si>
  <si>
    <t>Kms</t>
  </si>
  <si>
    <t>2.1 (Re) Establishment of road alignment and setting out of road works fo 1 km.</t>
  </si>
  <si>
    <t>Rate per culvert</t>
  </si>
  <si>
    <t xml:space="preserve">(De)Mobilisation </t>
  </si>
  <si>
    <t>Operator (md)</t>
  </si>
  <si>
    <t>Site Engineer (md)</t>
  </si>
  <si>
    <t>Surveyor (md)</t>
  </si>
  <si>
    <t>Lab Technician (md)</t>
  </si>
  <si>
    <t>Technician (md)</t>
  </si>
  <si>
    <t>(De)Mobilisation (backhoe)</t>
  </si>
  <si>
    <t>Operator(md)</t>
  </si>
  <si>
    <t>Site Engineer   (md)</t>
  </si>
  <si>
    <t>Unskilled labour</t>
  </si>
  <si>
    <t>hr</t>
  </si>
  <si>
    <t>Skilled labour</t>
  </si>
  <si>
    <t>Headman</t>
  </si>
  <si>
    <t>Engineer</t>
  </si>
  <si>
    <t>Site Manager</t>
  </si>
  <si>
    <t>Driver heavy</t>
  </si>
  <si>
    <t>Driver Light</t>
  </si>
  <si>
    <t>Plant operator H/D</t>
  </si>
  <si>
    <t>Plant operatorLH/D</t>
  </si>
  <si>
    <t>Land surveyor</t>
  </si>
  <si>
    <t>Draftsman</t>
  </si>
  <si>
    <t>3-5nos</t>
  </si>
  <si>
    <t>Sample charge out rates for labour</t>
  </si>
  <si>
    <t>Cost /day</t>
  </si>
  <si>
    <t>Setting up a cost rate</t>
  </si>
  <si>
    <t>Basic salary</t>
  </si>
  <si>
    <t>Social security</t>
  </si>
  <si>
    <t>Meals</t>
  </si>
  <si>
    <t>Insurance</t>
  </si>
  <si>
    <t>Medical insurance</t>
  </si>
  <si>
    <t>Training/development</t>
  </si>
  <si>
    <t>Telepnone</t>
  </si>
  <si>
    <t>Car</t>
  </si>
  <si>
    <t>Others</t>
  </si>
  <si>
    <t>Work hours</t>
  </si>
  <si>
    <t>Leave</t>
  </si>
  <si>
    <t>Sick and idle (25%)</t>
  </si>
  <si>
    <t>Productive time</t>
  </si>
  <si>
    <t>Cost per hour</t>
  </si>
  <si>
    <t>Round up to</t>
  </si>
  <si>
    <t>Margin (50%)</t>
  </si>
  <si>
    <t>Charge out rate</t>
  </si>
  <si>
    <t>120-150</t>
  </si>
  <si>
    <t>1.5 - 3</t>
  </si>
  <si>
    <t>15-25</t>
  </si>
  <si>
    <t>0.5-1</t>
  </si>
  <si>
    <t>0.5-1.5</t>
  </si>
  <si>
    <t>Margin -50%</t>
  </si>
  <si>
    <t>Rate/hr</t>
  </si>
  <si>
    <t>Rate per day</t>
  </si>
  <si>
    <t>Equipment</t>
  </si>
  <si>
    <t xml:space="preserve">D4 Dozer or equivalent with blade and ripper </t>
  </si>
  <si>
    <t xml:space="preserve">D8 Dozer or equivalent with blade and ripper </t>
  </si>
  <si>
    <t>Wheeled excavator, bucket capacity under 1 m3</t>
  </si>
  <si>
    <t>Track Loader, 3-4 m3 backet capacity, (Cat 973C or equivalent)</t>
  </si>
  <si>
    <t>Wheeled excavator, bucket capacity 1-2 m3</t>
  </si>
  <si>
    <t>Backhoe loader</t>
  </si>
  <si>
    <t>5t tipper lorry</t>
  </si>
  <si>
    <t>9t tipper lorry</t>
  </si>
  <si>
    <t>Dump Truck</t>
  </si>
  <si>
    <t>Motorgrader, complete with scarifier (Cat. 14 or equivalent)</t>
  </si>
  <si>
    <t>5-6t drawn vibrating roller and tractor</t>
  </si>
  <si>
    <t>10-12t smooth wheeled roller</t>
  </si>
  <si>
    <t>16-18t smooth wheeled roller</t>
  </si>
  <si>
    <t>Pneumatic roller, 5,000 kg per tyre when fully ballasted</t>
  </si>
  <si>
    <t>Vibrating plate compactor</t>
  </si>
  <si>
    <t>Self-propelled water tanker min. 14,000 ltr. with pick-up pump</t>
  </si>
  <si>
    <t>Compressor 120 l/m complete with all tools</t>
  </si>
  <si>
    <t>Generator  15 kW</t>
  </si>
  <si>
    <t>Generator 150 kW</t>
  </si>
  <si>
    <t>Rock drill</t>
  </si>
  <si>
    <t>Concrete mixer up to 400 litres</t>
  </si>
  <si>
    <t>Concrete mixing plant, complete 1.0cu.m or above</t>
  </si>
  <si>
    <t>Asphalt Plant</t>
  </si>
  <si>
    <t>Rate/hr (C+25%)</t>
  </si>
  <si>
    <t xml:space="preserve">Cost/hour </t>
  </si>
  <si>
    <t>Machinery is being hired not owned</t>
  </si>
  <si>
    <t>Grader hire (days)</t>
  </si>
  <si>
    <t>margin</t>
  </si>
  <si>
    <t>The markup is 30% of total cost</t>
  </si>
  <si>
    <t>A</t>
  </si>
  <si>
    <t>B</t>
  </si>
  <si>
    <t>Technical (70%)</t>
  </si>
  <si>
    <t>Financial (30%)</t>
  </si>
  <si>
    <t>each</t>
  </si>
  <si>
    <t>Staff Rate Computation</t>
  </si>
</sst>
</file>

<file path=xl/styles.xml><?xml version="1.0" encoding="utf-8"?>
<styleSheet xmlns="http://schemas.openxmlformats.org/spreadsheetml/2006/main">
  <numFmts count="8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_-* #,##0_-;\-* #,##0_-;_-* &quot;-&quot;??_-;_-@_-"/>
    <numFmt numFmtId="168" formatCode="0.000"/>
    <numFmt numFmtId="169" formatCode="0.0%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11"/>
      <color rgb="FF00B0F0"/>
      <name val="Arial"/>
      <family val="2"/>
    </font>
    <font>
      <b/>
      <sz val="11"/>
      <color rgb="FFFF0000"/>
      <name val="Arial"/>
      <family val="2"/>
    </font>
    <font>
      <sz val="11"/>
      <color rgb="FF00B0F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sz val="11"/>
      <color rgb="FFFF0000"/>
      <name val="Arial"/>
      <family val="2"/>
    </font>
    <font>
      <b/>
      <sz val="10"/>
      <color theme="1"/>
      <name val="Arial"/>
      <family val="2"/>
    </font>
    <font>
      <sz val="6.5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4"/>
      <name val="Helvetica"/>
      <family val="2"/>
    </font>
    <font>
      <sz val="14"/>
      <name val="Helvetica"/>
      <family val="2"/>
    </font>
    <font>
      <sz val="14"/>
      <color indexed="8"/>
      <name val="Helvetica"/>
      <family val="2"/>
    </font>
    <font>
      <b/>
      <sz val="10"/>
      <name val="Times New Roman"/>
      <family val="1"/>
    </font>
    <font>
      <sz val="11"/>
      <name val="Arial"/>
      <family val="2"/>
    </font>
    <font>
      <sz val="11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31B6FD"/>
        <bgColor indexed="64"/>
      </patternFill>
    </fill>
    <fill>
      <patternFill patternType="solid">
        <fgColor rgb="FFCDE5FE"/>
        <bgColor indexed="64"/>
      </patternFill>
    </fill>
    <fill>
      <patternFill patternType="solid">
        <fgColor rgb="FFE8F3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2"/>
        <bgColor indexed="64"/>
      </patternFill>
    </fill>
  </fills>
  <borders count="7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5" fillId="0" borderId="21">
      <alignment horizontal="center" vertical="top" wrapText="1"/>
    </xf>
    <xf numFmtId="0" fontId="5" fillId="0" borderId="21">
      <alignment horizontal="left" wrapText="1"/>
    </xf>
    <xf numFmtId="0" fontId="5" fillId="0" borderId="21">
      <alignment horizontal="center" vertical="top" wrapText="1"/>
    </xf>
    <xf numFmtId="9" fontId="1" fillId="0" borderId="0" applyFont="0" applyFill="0" applyBorder="0" applyAlignment="0" applyProtection="0"/>
  </cellStyleXfs>
  <cellXfs count="331">
    <xf numFmtId="0" fontId="0" fillId="0" borderId="0" xfId="0"/>
    <xf numFmtId="166" fontId="2" fillId="0" borderId="5" xfId="1" applyNumberFormat="1" applyFont="1" applyBorder="1"/>
    <xf numFmtId="0" fontId="4" fillId="0" borderId="0" xfId="0" applyFont="1"/>
    <xf numFmtId="0" fontId="4" fillId="0" borderId="0" xfId="0" applyNumberFormat="1" applyFont="1"/>
    <xf numFmtId="0" fontId="4" fillId="0" borderId="0" xfId="0" applyFont="1" applyAlignment="1">
      <alignment horizontal="right"/>
    </xf>
    <xf numFmtId="0" fontId="4" fillId="0" borderId="0" xfId="0" applyFont="1" applyAlignment="1"/>
    <xf numFmtId="0" fontId="4" fillId="0" borderId="0" xfId="0" applyNumberFormat="1" applyFont="1" applyAlignment="1"/>
    <xf numFmtId="166" fontId="0" fillId="0" borderId="0" xfId="1" applyNumberFormat="1" applyFont="1"/>
    <xf numFmtId="0" fontId="6" fillId="0" borderId="0" xfId="0" applyFont="1"/>
    <xf numFmtId="0" fontId="8" fillId="0" borderId="0" xfId="0" applyFont="1"/>
    <xf numFmtId="0" fontId="10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right" vertical="center"/>
    </xf>
    <xf numFmtId="0" fontId="10" fillId="0" borderId="13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27" xfId="0" applyFont="1" applyBorder="1" applyAlignment="1">
      <alignment horizontal="left" vertical="center"/>
    </xf>
    <xf numFmtId="0" fontId="12" fillId="0" borderId="9" xfId="0" applyFont="1" applyBorder="1" applyAlignment="1">
      <alignment horizontal="center" vertical="center"/>
    </xf>
    <xf numFmtId="0" fontId="10" fillId="0" borderId="14" xfId="0" applyFont="1" applyBorder="1" applyAlignment="1">
      <alignment horizontal="left"/>
    </xf>
    <xf numFmtId="0" fontId="10" fillId="0" borderId="15" xfId="0" applyFont="1" applyBorder="1" applyAlignment="1">
      <alignment horizontal="left"/>
    </xf>
    <xf numFmtId="0" fontId="10" fillId="0" borderId="28" xfId="0" applyFont="1" applyBorder="1" applyAlignment="1">
      <alignment horizontal="left"/>
    </xf>
    <xf numFmtId="0" fontId="12" fillId="0" borderId="29" xfId="0" applyFont="1" applyBorder="1" applyAlignment="1"/>
    <xf numFmtId="0" fontId="5" fillId="0" borderId="17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18" xfId="0" applyFont="1" applyBorder="1" applyAlignment="1">
      <alignment horizontal="left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0" fontId="12" fillId="0" borderId="5" xfId="0" applyFont="1" applyBorder="1" applyAlignment="1">
      <alignment horizontal="center" vertical="center"/>
    </xf>
    <xf numFmtId="0" fontId="12" fillId="0" borderId="5" xfId="0" applyNumberFormat="1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21" xfId="0" applyFont="1" applyBorder="1" applyAlignment="1">
      <alignment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21" xfId="0" applyNumberFormat="1" applyFont="1" applyBorder="1" applyAlignment="1">
      <alignment vertical="center"/>
    </xf>
    <xf numFmtId="3" fontId="5" fillId="0" borderId="21" xfId="0" applyNumberFormat="1" applyFont="1" applyBorder="1" applyAlignment="1">
      <alignment horizontal="right" vertical="center"/>
    </xf>
    <xf numFmtId="0" fontId="5" fillId="0" borderId="31" xfId="0" applyFont="1" applyBorder="1" applyAlignment="1">
      <alignment horizontal="center" vertical="top"/>
    </xf>
    <xf numFmtId="0" fontId="5" fillId="0" borderId="21" xfId="0" applyFont="1" applyBorder="1" applyAlignment="1">
      <alignment vertical="top" wrapText="1"/>
    </xf>
    <xf numFmtId="0" fontId="5" fillId="0" borderId="21" xfId="0" applyFont="1" applyBorder="1" applyAlignment="1">
      <alignment horizontal="center" vertical="top"/>
    </xf>
    <xf numFmtId="0" fontId="5" fillId="0" borderId="21" xfId="0" applyNumberFormat="1" applyFont="1" applyBorder="1" applyAlignment="1">
      <alignment horizontal="center" vertical="top"/>
    </xf>
    <xf numFmtId="3" fontId="5" fillId="3" borderId="21" xfId="0" applyNumberFormat="1" applyFont="1" applyFill="1" applyBorder="1" applyAlignment="1" applyProtection="1">
      <alignment vertical="top"/>
      <protection locked="0"/>
    </xf>
    <xf numFmtId="0" fontId="14" fillId="0" borderId="31" xfId="0" applyFont="1" applyBorder="1" applyAlignment="1">
      <alignment horizontal="center" vertical="top"/>
    </xf>
    <xf numFmtId="0" fontId="5" fillId="0" borderId="21" xfId="0" applyFont="1" applyBorder="1" applyAlignment="1">
      <alignment vertical="top"/>
    </xf>
    <xf numFmtId="167" fontId="5" fillId="0" borderId="21" xfId="1" applyNumberFormat="1" applyFont="1" applyBorder="1" applyAlignment="1">
      <alignment horizontal="right" vertical="top"/>
    </xf>
    <xf numFmtId="3" fontId="5" fillId="0" borderId="21" xfId="0" applyNumberFormat="1" applyFont="1" applyBorder="1" applyAlignment="1">
      <alignment horizontal="right" vertical="top"/>
    </xf>
    <xf numFmtId="0" fontId="5" fillId="0" borderId="32" xfId="0" applyFont="1" applyBorder="1" applyAlignment="1">
      <alignment horizontal="center" vertical="top"/>
    </xf>
    <xf numFmtId="0" fontId="5" fillId="0" borderId="33" xfId="0" applyFont="1" applyBorder="1" applyAlignment="1">
      <alignment vertical="top"/>
    </xf>
    <xf numFmtId="0" fontId="5" fillId="0" borderId="33" xfId="0" applyFont="1" applyBorder="1" applyAlignment="1">
      <alignment horizontal="center" vertical="top"/>
    </xf>
    <xf numFmtId="0" fontId="5" fillId="0" borderId="33" xfId="0" applyNumberFormat="1" applyFont="1" applyBorder="1" applyAlignment="1">
      <alignment horizontal="center" vertical="top"/>
    </xf>
    <xf numFmtId="3" fontId="5" fillId="0" borderId="33" xfId="0" applyNumberFormat="1" applyFont="1" applyBorder="1" applyAlignment="1">
      <alignment horizontal="right" vertical="top"/>
    </xf>
    <xf numFmtId="0" fontId="15" fillId="0" borderId="22" xfId="0" applyFont="1" applyBorder="1" applyAlignment="1">
      <alignment horizontal="left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3" fontId="12" fillId="0" borderId="8" xfId="0" applyNumberFormat="1" applyFont="1" applyBorder="1" applyAlignment="1">
      <alignment vertical="center"/>
    </xf>
    <xf numFmtId="0" fontId="11" fillId="0" borderId="12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0" fillId="0" borderId="13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27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5" fillId="0" borderId="19" xfId="0" applyFont="1" applyBorder="1" applyAlignment="1">
      <alignment horizontal="center" vertical="center"/>
    </xf>
    <xf numFmtId="0" fontId="12" fillId="0" borderId="5" xfId="0" applyFont="1" applyBorder="1" applyAlignment="1">
      <alignment horizontal="right" vertical="center"/>
    </xf>
    <xf numFmtId="0" fontId="5" fillId="0" borderId="21" xfId="0" applyFont="1" applyBorder="1" applyAlignment="1">
      <alignment vertical="center"/>
    </xf>
    <xf numFmtId="0" fontId="5" fillId="0" borderId="21" xfId="0" applyNumberFormat="1" applyFont="1" applyBorder="1" applyAlignment="1">
      <alignment horizontal="center" vertical="center"/>
    </xf>
    <xf numFmtId="3" fontId="5" fillId="0" borderId="21" xfId="1" applyNumberFormat="1" applyFont="1" applyBorder="1" applyAlignment="1">
      <alignment horizontal="center" vertical="top"/>
    </xf>
    <xf numFmtId="3" fontId="5" fillId="0" borderId="21" xfId="1" applyNumberFormat="1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3" fontId="5" fillId="0" borderId="21" xfId="1" applyNumberFormat="1" applyFont="1" applyBorder="1" applyAlignment="1">
      <alignment horizontal="center" vertical="top" wrapText="1"/>
    </xf>
    <xf numFmtId="0" fontId="14" fillId="0" borderId="31" xfId="0" applyFont="1" applyBorder="1" applyAlignment="1">
      <alignment horizontal="center" vertical="center"/>
    </xf>
    <xf numFmtId="3" fontId="5" fillId="0" borderId="21" xfId="0" applyNumberFormat="1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vertical="center"/>
    </xf>
    <xf numFmtId="0" fontId="5" fillId="0" borderId="33" xfId="0" applyFont="1" applyBorder="1" applyAlignment="1">
      <alignment horizontal="center" vertical="center"/>
    </xf>
    <xf numFmtId="3" fontId="5" fillId="0" borderId="33" xfId="0" applyNumberFormat="1" applyFont="1" applyBorder="1" applyAlignment="1">
      <alignment horizontal="center" vertical="center"/>
    </xf>
    <xf numFmtId="3" fontId="5" fillId="0" borderId="33" xfId="0" applyNumberFormat="1" applyFont="1" applyBorder="1" applyAlignment="1">
      <alignment horizontal="right" vertical="center"/>
    </xf>
    <xf numFmtId="0" fontId="12" fillId="0" borderId="23" xfId="0" applyFont="1" applyBorder="1" applyAlignment="1">
      <alignment horizontal="center" vertical="center"/>
    </xf>
    <xf numFmtId="3" fontId="12" fillId="0" borderId="23" xfId="0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7" fillId="0" borderId="11" xfId="0" applyFont="1" applyBorder="1" applyAlignment="1">
      <alignment horizontal="left" vertical="center"/>
    </xf>
    <xf numFmtId="3" fontId="11" fillId="0" borderId="25" xfId="0" applyNumberFormat="1" applyFont="1" applyBorder="1" applyAlignment="1">
      <alignment horizontal="center"/>
    </xf>
    <xf numFmtId="3" fontId="10" fillId="0" borderId="27" xfId="0" applyNumberFormat="1" applyFont="1" applyBorder="1" applyAlignment="1">
      <alignment horizontal="center"/>
    </xf>
    <xf numFmtId="0" fontId="17" fillId="0" borderId="14" xfId="0" applyFont="1" applyBorder="1" applyAlignment="1">
      <alignment horizontal="left"/>
    </xf>
    <xf numFmtId="0" fontId="17" fillId="0" borderId="15" xfId="0" applyFont="1" applyBorder="1" applyAlignment="1">
      <alignment horizontal="left"/>
    </xf>
    <xf numFmtId="3" fontId="17" fillId="0" borderId="28" xfId="0" applyNumberFormat="1" applyFont="1" applyBorder="1" applyAlignment="1">
      <alignment horizontal="center"/>
    </xf>
    <xf numFmtId="3" fontId="5" fillId="0" borderId="19" xfId="0" applyNumberFormat="1" applyFont="1" applyBorder="1" applyAlignment="1">
      <alignment horizontal="center" vertical="center"/>
    </xf>
    <xf numFmtId="3" fontId="12" fillId="0" borderId="5" xfId="0" applyNumberFormat="1" applyFont="1" applyBorder="1" applyAlignment="1">
      <alignment horizontal="center" vertical="center"/>
    </xf>
    <xf numFmtId="0" fontId="12" fillId="0" borderId="31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3" fontId="12" fillId="0" borderId="21" xfId="0" applyNumberFormat="1" applyFont="1" applyBorder="1" applyAlignment="1">
      <alignment horizontal="center"/>
    </xf>
    <xf numFmtId="0" fontId="12" fillId="0" borderId="21" xfId="0" applyFont="1" applyBorder="1" applyAlignment="1">
      <alignment horizontal="right"/>
    </xf>
    <xf numFmtId="0" fontId="12" fillId="0" borderId="31" xfId="0" applyFont="1" applyBorder="1" applyAlignment="1">
      <alignment horizontal="center" vertical="center"/>
    </xf>
    <xf numFmtId="0" fontId="12" fillId="0" borderId="21" xfId="4" applyFont="1" applyBorder="1" applyAlignment="1">
      <alignment horizontal="left" vertical="center"/>
    </xf>
    <xf numFmtId="0" fontId="5" fillId="0" borderId="21" xfId="4" applyFont="1" applyBorder="1" applyAlignment="1">
      <alignment horizontal="left" vertical="center"/>
    </xf>
    <xf numFmtId="0" fontId="12" fillId="0" borderId="21" xfId="0" applyFont="1" applyBorder="1" applyAlignment="1">
      <alignment vertical="center"/>
    </xf>
    <xf numFmtId="3" fontId="16" fillId="0" borderId="23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3" fontId="11" fillId="0" borderId="27" xfId="0" applyNumberFormat="1" applyFont="1" applyBorder="1" applyAlignment="1">
      <alignment horizontal="center"/>
    </xf>
    <xf numFmtId="0" fontId="12" fillId="0" borderId="9" xfId="0" applyFont="1" applyBorder="1" applyAlignment="1">
      <alignment horizontal="right" vertical="center"/>
    </xf>
    <xf numFmtId="0" fontId="5" fillId="0" borderId="31" xfId="3" applyFont="1" applyBorder="1" applyAlignment="1">
      <alignment horizontal="center" vertical="center"/>
    </xf>
    <xf numFmtId="0" fontId="5" fillId="0" borderId="21" xfId="5" applyFont="1" applyBorder="1" applyAlignment="1">
      <alignment horizontal="center" vertical="center"/>
    </xf>
    <xf numFmtId="0" fontId="5" fillId="0" borderId="21" xfId="4" applyFont="1" applyBorder="1" applyAlignment="1">
      <alignment horizontal="left" vertical="center" wrapText="1"/>
    </xf>
    <xf numFmtId="14" fontId="5" fillId="0" borderId="31" xfId="3" applyNumberFormat="1" applyFont="1" applyBorder="1" applyAlignment="1">
      <alignment horizontal="center" vertical="center"/>
    </xf>
    <xf numFmtId="0" fontId="19" fillId="0" borderId="13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3" fontId="19" fillId="0" borderId="27" xfId="0" applyNumberFormat="1" applyFont="1" applyBorder="1" applyAlignment="1">
      <alignment horizontal="center"/>
    </xf>
    <xf numFmtId="0" fontId="12" fillId="0" borderId="9" xfId="0" applyFont="1" applyBorder="1" applyAlignment="1">
      <alignment horizontal="left"/>
    </xf>
    <xf numFmtId="0" fontId="12" fillId="0" borderId="21" xfId="0" applyFont="1" applyBorder="1" applyAlignment="1">
      <alignment horizontal="right" vertical="center"/>
    </xf>
    <xf numFmtId="3" fontId="12" fillId="0" borderId="6" xfId="0" applyNumberFormat="1" applyFont="1" applyBorder="1" applyAlignment="1">
      <alignment vertical="center"/>
    </xf>
    <xf numFmtId="2" fontId="5" fillId="0" borderId="31" xfId="0" applyNumberFormat="1" applyFont="1" applyBorder="1" applyAlignment="1">
      <alignment horizontal="center" vertical="center"/>
    </xf>
    <xf numFmtId="0" fontId="5" fillId="0" borderId="21" xfId="4" applyFont="1" applyBorder="1" applyAlignment="1">
      <alignment horizontal="left" vertical="top"/>
    </xf>
    <xf numFmtId="0" fontId="5" fillId="0" borderId="21" xfId="5" applyFont="1" applyBorder="1" applyAlignment="1">
      <alignment horizontal="center" vertical="top"/>
    </xf>
    <xf numFmtId="3" fontId="5" fillId="0" borderId="21" xfId="0" applyNumberFormat="1" applyFont="1" applyBorder="1" applyAlignment="1">
      <alignment horizontal="center" vertical="top"/>
    </xf>
    <xf numFmtId="0" fontId="5" fillId="0" borderId="31" xfId="3" applyFont="1" applyBorder="1" applyAlignment="1">
      <alignment horizontal="center" vertical="top"/>
    </xf>
    <xf numFmtId="3" fontId="5" fillId="0" borderId="33" xfId="0" applyNumberFormat="1" applyFont="1" applyBorder="1" applyAlignment="1">
      <alignment horizontal="center" vertical="top"/>
    </xf>
    <xf numFmtId="0" fontId="5" fillId="0" borderId="0" xfId="0" applyFont="1" applyAlignment="1"/>
    <xf numFmtId="0" fontId="5" fillId="0" borderId="33" xfId="0" applyNumberFormat="1" applyFont="1" applyBorder="1" applyAlignment="1">
      <alignment horizontal="center" vertical="center"/>
    </xf>
    <xf numFmtId="0" fontId="19" fillId="0" borderId="27" xfId="0" applyFont="1" applyBorder="1" applyAlignment="1">
      <alignment horizontal="center"/>
    </xf>
    <xf numFmtId="0" fontId="17" fillId="0" borderId="28" xfId="0" applyFont="1" applyBorder="1" applyAlignment="1">
      <alignment horizontal="center"/>
    </xf>
    <xf numFmtId="0" fontId="12" fillId="0" borderId="17" xfId="0" applyFont="1" applyBorder="1" applyAlignment="1">
      <alignment horizontal="center" vertical="center"/>
    </xf>
    <xf numFmtId="0" fontId="12" fillId="0" borderId="34" xfId="0" applyFont="1" applyBorder="1" applyAlignment="1">
      <alignment horizontal="left" vertical="center"/>
    </xf>
    <xf numFmtId="0" fontId="12" fillId="0" borderId="19" xfId="0" applyFont="1" applyBorder="1" applyAlignment="1">
      <alignment horizontal="center" vertical="center"/>
    </xf>
    <xf numFmtId="0" fontId="12" fillId="0" borderId="19" xfId="0" applyNumberFormat="1" applyFont="1" applyBorder="1" applyAlignment="1">
      <alignment horizontal="center" vertical="center"/>
    </xf>
    <xf numFmtId="0" fontId="12" fillId="0" borderId="35" xfId="0" applyFont="1" applyBorder="1" applyAlignment="1">
      <alignment horizontal="right" vertical="center"/>
    </xf>
    <xf numFmtId="0" fontId="12" fillId="0" borderId="36" xfId="3" applyFont="1" applyBorder="1" applyAlignment="1">
      <alignment horizontal="center" vertical="center"/>
    </xf>
    <xf numFmtId="0" fontId="12" fillId="0" borderId="37" xfId="4" applyFont="1" applyBorder="1" applyAlignment="1">
      <alignment horizontal="left" vertical="center" wrapText="1"/>
    </xf>
    <xf numFmtId="0" fontId="12" fillId="0" borderId="38" xfId="4" applyFont="1" applyBorder="1" applyAlignment="1">
      <alignment horizontal="left" vertical="center" wrapText="1"/>
    </xf>
    <xf numFmtId="0" fontId="12" fillId="0" borderId="39" xfId="4" applyFont="1" applyBorder="1" applyAlignment="1">
      <alignment horizontal="left" vertical="center" wrapText="1"/>
    </xf>
    <xf numFmtId="0" fontId="12" fillId="0" borderId="40" xfId="3" applyFont="1" applyBorder="1" applyAlignment="1">
      <alignment horizontal="center" vertical="center"/>
    </xf>
    <xf numFmtId="0" fontId="12" fillId="0" borderId="41" xfId="4" applyFont="1" applyBorder="1" applyAlignment="1">
      <alignment horizontal="left" vertical="center" wrapText="1"/>
    </xf>
    <xf numFmtId="0" fontId="12" fillId="0" borderId="42" xfId="4" applyFont="1" applyBorder="1" applyAlignment="1">
      <alignment horizontal="left" vertical="center" wrapText="1"/>
    </xf>
    <xf numFmtId="0" fontId="12" fillId="0" borderId="43" xfId="4" applyFont="1" applyBorder="1" applyAlignment="1">
      <alignment horizontal="left" vertical="center" wrapText="1"/>
    </xf>
    <xf numFmtId="0" fontId="12" fillId="0" borderId="44" xfId="3" applyFont="1" applyBorder="1" applyAlignment="1">
      <alignment horizontal="center" vertical="center"/>
    </xf>
    <xf numFmtId="0" fontId="12" fillId="0" borderId="45" xfId="4" applyFont="1" applyBorder="1" applyAlignment="1">
      <alignment horizontal="left" vertical="center" wrapText="1"/>
    </xf>
    <xf numFmtId="0" fontId="12" fillId="0" borderId="46" xfId="4" applyFont="1" applyBorder="1" applyAlignment="1">
      <alignment horizontal="left" vertical="center" wrapText="1"/>
    </xf>
    <xf numFmtId="0" fontId="12" fillId="0" borderId="47" xfId="4" applyFont="1" applyBorder="1" applyAlignment="1">
      <alignment horizontal="left" vertical="center" wrapText="1"/>
    </xf>
    <xf numFmtId="0" fontId="10" fillId="0" borderId="22" xfId="0" applyFont="1" applyBorder="1" applyAlignment="1">
      <alignment horizontal="left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3" fontId="10" fillId="0" borderId="8" xfId="0" applyNumberFormat="1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right" vertical="center"/>
    </xf>
    <xf numFmtId="0" fontId="12" fillId="0" borderId="48" xfId="3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5" fillId="0" borderId="49" xfId="5" applyFont="1" applyBorder="1" applyAlignment="1">
      <alignment horizontal="center" vertical="center"/>
    </xf>
    <xf numFmtId="0" fontId="5" fillId="0" borderId="21" xfId="0" applyFont="1" applyBorder="1" applyAlignment="1">
      <alignment horizontal="right" vertical="center"/>
    </xf>
    <xf numFmtId="0" fontId="5" fillId="0" borderId="0" xfId="0" applyFont="1" applyBorder="1" applyAlignment="1">
      <alignment vertical="top"/>
    </xf>
    <xf numFmtId="0" fontId="5" fillId="0" borderId="9" xfId="5" applyFont="1" applyBorder="1" applyAlignment="1">
      <alignment horizontal="center" vertical="top"/>
    </xf>
    <xf numFmtId="164" fontId="12" fillId="0" borderId="21" xfId="2" applyNumberFormat="1" applyFont="1" applyBorder="1" applyAlignment="1">
      <alignment horizontal="right" vertical="top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center"/>
    </xf>
    <xf numFmtId="0" fontId="5" fillId="0" borderId="9" xfId="5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right" vertical="center"/>
    </xf>
    <xf numFmtId="0" fontId="12" fillId="0" borderId="24" xfId="0" applyFont="1" applyBorder="1" applyAlignment="1">
      <alignment horizontal="right" vertical="center"/>
    </xf>
    <xf numFmtId="0" fontId="5" fillId="0" borderId="50" xfId="0" applyFont="1" applyBorder="1" applyAlignment="1">
      <alignment vertical="center"/>
    </xf>
    <xf numFmtId="0" fontId="12" fillId="0" borderId="51" xfId="0" applyFont="1" applyBorder="1" applyAlignment="1">
      <alignment horizontal="right" vertical="center"/>
    </xf>
    <xf numFmtId="0" fontId="12" fillId="0" borderId="52" xfId="0" applyFont="1" applyBorder="1" applyAlignment="1">
      <alignment horizontal="right" vertical="center"/>
    </xf>
    <xf numFmtId="3" fontId="15" fillId="0" borderId="3" xfId="0" applyNumberFormat="1" applyFont="1" applyBorder="1" applyAlignment="1">
      <alignment vertical="center"/>
    </xf>
    <xf numFmtId="0" fontId="12" fillId="0" borderId="19" xfId="0" applyFont="1" applyBorder="1" applyAlignment="1">
      <alignment horizontal="right" vertical="center"/>
    </xf>
    <xf numFmtId="0" fontId="12" fillId="0" borderId="20" xfId="0" applyFont="1" applyBorder="1" applyAlignment="1">
      <alignment horizontal="right" vertical="center"/>
    </xf>
    <xf numFmtId="3" fontId="5" fillId="0" borderId="6" xfId="0" applyNumberFormat="1" applyFont="1" applyBorder="1" applyAlignment="1">
      <alignment vertical="center"/>
    </xf>
    <xf numFmtId="3" fontId="16" fillId="0" borderId="6" xfId="0" applyNumberFormat="1" applyFont="1" applyBorder="1" applyAlignment="1">
      <alignment vertical="center"/>
    </xf>
    <xf numFmtId="0" fontId="15" fillId="0" borderId="22" xfId="0" applyFont="1" applyBorder="1" applyAlignment="1">
      <alignment vertical="center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right" vertical="center"/>
    </xf>
    <xf numFmtId="0" fontId="0" fillId="0" borderId="5" xfId="0" applyBorder="1"/>
    <xf numFmtId="166" fontId="0" fillId="0" borderId="5" xfId="1" applyNumberFormat="1" applyFont="1" applyBorder="1"/>
    <xf numFmtId="166" fontId="0" fillId="0" borderId="5" xfId="0" applyNumberFormat="1" applyBorder="1"/>
    <xf numFmtId="0" fontId="20" fillId="0" borderId="5" xfId="0" applyFont="1" applyBorder="1"/>
    <xf numFmtId="0" fontId="2" fillId="0" borderId="5" xfId="0" applyFont="1" applyBorder="1"/>
    <xf numFmtId="0" fontId="21" fillId="0" borderId="5" xfId="0" applyFont="1" applyBorder="1"/>
    <xf numFmtId="3" fontId="2" fillId="0" borderId="5" xfId="0" applyNumberFormat="1" applyFont="1" applyBorder="1"/>
    <xf numFmtId="166" fontId="2" fillId="0" borderId="5" xfId="0" applyNumberFormat="1" applyFont="1" applyBorder="1"/>
    <xf numFmtId="0" fontId="9" fillId="0" borderId="5" xfId="0" applyFont="1" applyBorder="1"/>
    <xf numFmtId="0" fontId="9" fillId="0" borderId="5" xfId="0" applyFont="1" applyBorder="1" applyAlignment="1">
      <alignment wrapText="1"/>
    </xf>
    <xf numFmtId="166" fontId="9" fillId="0" borderId="5" xfId="1" applyNumberFormat="1" applyFont="1" applyBorder="1"/>
    <xf numFmtId="166" fontId="7" fillId="0" borderId="5" xfId="1" applyNumberFormat="1" applyFont="1" applyBorder="1"/>
    <xf numFmtId="166" fontId="6" fillId="0" borderId="5" xfId="1" applyNumberFormat="1" applyFont="1" applyBorder="1"/>
    <xf numFmtId="166" fontId="20" fillId="0" borderId="5" xfId="1" applyNumberFormat="1" applyFont="1" applyBorder="1"/>
    <xf numFmtId="166" fontId="22" fillId="0" borderId="5" xfId="1" applyNumberFormat="1" applyFont="1" applyBorder="1"/>
    <xf numFmtId="166" fontId="21" fillId="0" borderId="5" xfId="1" applyNumberFormat="1" applyFont="1" applyBorder="1"/>
    <xf numFmtId="166" fontId="15" fillId="0" borderId="5" xfId="1" applyNumberFormat="1" applyFont="1" applyBorder="1"/>
    <xf numFmtId="166" fontId="3" fillId="0" borderId="5" xfId="1" applyNumberFormat="1" applyFont="1" applyBorder="1"/>
    <xf numFmtId="0" fontId="0" fillId="7" borderId="0" xfId="0" applyFill="1"/>
    <xf numFmtId="0" fontId="25" fillId="0" borderId="0" xfId="0" applyFont="1"/>
    <xf numFmtId="43" fontId="26" fillId="4" borderId="53" xfId="1" applyFont="1" applyFill="1" applyBorder="1" applyAlignment="1">
      <alignment horizontal="left" vertical="center" wrapText="1" readingOrder="1"/>
    </xf>
    <xf numFmtId="43" fontId="27" fillId="5" borderId="54" xfId="1" applyFont="1" applyFill="1" applyBorder="1" applyAlignment="1">
      <alignment horizontal="left" vertical="center" wrapText="1" readingOrder="1"/>
    </xf>
    <xf numFmtId="43" fontId="5" fillId="5" borderId="54" xfId="1" applyFont="1" applyFill="1" applyBorder="1" applyAlignment="1">
      <alignment vertical="top" wrapText="1"/>
    </xf>
    <xf numFmtId="43" fontId="27" fillId="5" borderId="56" xfId="1" applyFont="1" applyFill="1" applyBorder="1" applyAlignment="1">
      <alignment horizontal="left" vertical="center" wrapText="1" readingOrder="1"/>
    </xf>
    <xf numFmtId="43" fontId="5" fillId="5" borderId="56" xfId="1" applyFont="1" applyFill="1" applyBorder="1" applyAlignment="1">
      <alignment vertical="top" wrapText="1"/>
    </xf>
    <xf numFmtId="43" fontId="27" fillId="6" borderId="55" xfId="1" applyFont="1" applyFill="1" applyBorder="1" applyAlignment="1">
      <alignment horizontal="left" vertical="center" wrapText="1" readingOrder="1"/>
    </xf>
    <xf numFmtId="43" fontId="5" fillId="6" borderId="55" xfId="1" applyFont="1" applyFill="1" applyBorder="1" applyAlignment="1">
      <alignment vertical="top" wrapText="1"/>
    </xf>
    <xf numFmtId="43" fontId="27" fillId="5" borderId="55" xfId="1" applyFont="1" applyFill="1" applyBorder="1" applyAlignment="1">
      <alignment horizontal="left" vertical="center" wrapText="1" readingOrder="1"/>
    </xf>
    <xf numFmtId="43" fontId="5" fillId="5" borderId="55" xfId="1" applyFont="1" applyFill="1" applyBorder="1" applyAlignment="1">
      <alignment vertical="top" wrapText="1"/>
    </xf>
    <xf numFmtId="43" fontId="25" fillId="0" borderId="0" xfId="1" applyFont="1"/>
    <xf numFmtId="43" fontId="5" fillId="2" borderId="0" xfId="1" applyFont="1" applyFill="1"/>
    <xf numFmtId="0" fontId="2" fillId="0" borderId="21" xfId="0" applyFont="1" applyFill="1" applyBorder="1"/>
    <xf numFmtId="0" fontId="28" fillId="0" borderId="5" xfId="0" applyFont="1" applyBorder="1"/>
    <xf numFmtId="166" fontId="28" fillId="0" borderId="5" xfId="1" applyNumberFormat="1" applyFont="1" applyBorder="1"/>
    <xf numFmtId="0" fontId="0" fillId="0" borderId="1" xfId="0" applyBorder="1"/>
    <xf numFmtId="0" fontId="0" fillId="0" borderId="4" xfId="0" applyBorder="1"/>
    <xf numFmtId="0" fontId="25" fillId="0" borderId="58" xfId="0" applyFont="1" applyBorder="1" applyAlignment="1">
      <alignment vertical="top" wrapText="1"/>
    </xf>
    <xf numFmtId="0" fontId="25" fillId="0" borderId="60" xfId="0" applyFont="1" applyBorder="1" applyAlignment="1">
      <alignment vertical="top" wrapText="1"/>
    </xf>
    <xf numFmtId="3" fontId="25" fillId="0" borderId="60" xfId="0" applyNumberFormat="1" applyFont="1" applyBorder="1" applyAlignment="1">
      <alignment vertical="top" wrapText="1"/>
    </xf>
    <xf numFmtId="166" fontId="25" fillId="0" borderId="61" xfId="1" applyNumberFormat="1" applyFont="1" applyBorder="1" applyAlignment="1">
      <alignment vertical="top" wrapText="1"/>
    </xf>
    <xf numFmtId="9" fontId="0" fillId="0" borderId="4" xfId="0" applyNumberFormat="1" applyBorder="1"/>
    <xf numFmtId="0" fontId="25" fillId="0" borderId="61" xfId="0" applyFont="1" applyBorder="1" applyAlignment="1">
      <alignment vertical="top" wrapText="1"/>
    </xf>
    <xf numFmtId="0" fontId="0" fillId="0" borderId="10" xfId="0" applyBorder="1"/>
    <xf numFmtId="166" fontId="0" fillId="0" borderId="0" xfId="0" applyNumberFormat="1"/>
    <xf numFmtId="0" fontId="25" fillId="0" borderId="0" xfId="0" applyFont="1" applyFill="1" applyBorder="1" applyAlignment="1">
      <alignment vertical="top" wrapText="1"/>
    </xf>
    <xf numFmtId="3" fontId="0" fillId="0" borderId="0" xfId="0" applyNumberFormat="1"/>
    <xf numFmtId="43" fontId="0" fillId="0" borderId="0" xfId="0" applyNumberFormat="1"/>
    <xf numFmtId="16" fontId="25" fillId="0" borderId="60" xfId="0" applyNumberFormat="1" applyFont="1" applyBorder="1" applyAlignment="1">
      <alignment vertical="top" wrapText="1"/>
    </xf>
    <xf numFmtId="0" fontId="25" fillId="0" borderId="60" xfId="0" applyNumberFormat="1" applyFont="1" applyBorder="1" applyAlignment="1">
      <alignment vertical="top" wrapText="1"/>
    </xf>
    <xf numFmtId="0" fontId="31" fillId="0" borderId="0" xfId="0" applyFont="1"/>
    <xf numFmtId="0" fontId="32" fillId="0" borderId="19" xfId="0" applyFont="1" applyFill="1" applyBorder="1" applyAlignment="1">
      <alignment vertical="top" wrapText="1"/>
    </xf>
    <xf numFmtId="3" fontId="32" fillId="0" borderId="0" xfId="0" applyNumberFormat="1" applyFont="1" applyFill="1" applyBorder="1" applyAlignment="1">
      <alignment horizontal="center" vertical="top" wrapText="1"/>
    </xf>
    <xf numFmtId="3" fontId="33" fillId="0" borderId="0" xfId="2" applyNumberFormat="1" applyFont="1" applyFill="1" applyBorder="1" applyAlignment="1">
      <alignment horizontal="center" vertical="center" wrapText="1"/>
    </xf>
    <xf numFmtId="41" fontId="33" fillId="0" borderId="0" xfId="2" applyNumberFormat="1" applyFont="1" applyFill="1" applyBorder="1" applyAlignment="1">
      <alignment horizontal="center" vertical="center" wrapText="1"/>
    </xf>
    <xf numFmtId="166" fontId="31" fillId="0" borderId="0" xfId="1" applyNumberFormat="1" applyFont="1"/>
    <xf numFmtId="4" fontId="32" fillId="0" borderId="19" xfId="0" applyNumberFormat="1" applyFont="1" applyFill="1" applyBorder="1" applyAlignment="1">
      <alignment vertical="top" wrapText="1"/>
    </xf>
    <xf numFmtId="165" fontId="35" fillId="8" borderId="63" xfId="0" applyNumberFormat="1" applyFont="1" applyFill="1" applyBorder="1" applyAlignment="1">
      <alignment horizontal="center" vertical="top" wrapText="1"/>
    </xf>
    <xf numFmtId="4" fontId="36" fillId="8" borderId="64" xfId="2" applyNumberFormat="1" applyFont="1" applyFill="1" applyBorder="1" applyAlignment="1">
      <alignment horizontal="center" vertical="center" wrapText="1"/>
    </xf>
    <xf numFmtId="164" fontId="35" fillId="0" borderId="17" xfId="0" applyNumberFormat="1" applyFont="1" applyFill="1" applyBorder="1" applyAlignment="1">
      <alignment horizontal="left" vertical="top"/>
    </xf>
    <xf numFmtId="165" fontId="35" fillId="0" borderId="30" xfId="0" applyNumberFormat="1" applyFont="1" applyFill="1" applyBorder="1" applyAlignment="1">
      <alignment vertical="top" wrapText="1"/>
    </xf>
    <xf numFmtId="165" fontId="35" fillId="0" borderId="63" xfId="0" applyNumberFormat="1" applyFont="1" applyFill="1" applyBorder="1" applyAlignment="1">
      <alignment horizontal="center" vertical="top" wrapText="1"/>
    </xf>
    <xf numFmtId="41" fontId="36" fillId="0" borderId="63" xfId="2" applyNumberFormat="1" applyFont="1" applyFill="1" applyBorder="1" applyAlignment="1">
      <alignment horizontal="center" vertical="center" wrapText="1"/>
    </xf>
    <xf numFmtId="4" fontId="35" fillId="0" borderId="30" xfId="0" applyNumberFormat="1" applyFont="1" applyFill="1" applyBorder="1" applyAlignment="1">
      <alignment vertical="top" wrapText="1"/>
    </xf>
    <xf numFmtId="0" fontId="35" fillId="0" borderId="30" xfId="0" applyFont="1" applyFill="1" applyBorder="1" applyAlignment="1">
      <alignment vertical="top" wrapText="1"/>
    </xf>
    <xf numFmtId="0" fontId="35" fillId="0" borderId="63" xfId="0" applyFont="1" applyFill="1" applyBorder="1" applyAlignment="1">
      <alignment horizontal="center" vertical="top" wrapText="1"/>
    </xf>
    <xf numFmtId="41" fontId="36" fillId="0" borderId="17" xfId="2" applyNumberFormat="1" applyFont="1" applyFill="1" applyBorder="1" applyAlignment="1">
      <alignment horizontal="center" vertical="center" wrapText="1"/>
    </xf>
    <xf numFmtId="41" fontId="36" fillId="0" borderId="63" xfId="2" applyNumberFormat="1" applyFont="1" applyFill="1" applyBorder="1" applyAlignment="1">
      <alignment horizontal="right" vertical="center" wrapText="1"/>
    </xf>
    <xf numFmtId="164" fontId="35" fillId="0" borderId="14" xfId="0" applyNumberFormat="1" applyFont="1" applyBorder="1" applyAlignment="1">
      <alignment horizontal="left" vertical="center"/>
    </xf>
    <xf numFmtId="0" fontId="35" fillId="0" borderId="16" xfId="0" applyFont="1" applyBorder="1" applyAlignment="1">
      <alignment vertical="center" wrapText="1"/>
    </xf>
    <xf numFmtId="0" fontId="5" fillId="2" borderId="21" xfId="0" applyNumberFormat="1" applyFont="1" applyFill="1" applyBorder="1" applyAlignment="1">
      <alignment horizontal="center" vertical="top"/>
    </xf>
    <xf numFmtId="0" fontId="3" fillId="0" borderId="5" xfId="0" applyFont="1" applyBorder="1"/>
    <xf numFmtId="166" fontId="9" fillId="0" borderId="0" xfId="1" applyNumberFormat="1" applyFont="1"/>
    <xf numFmtId="166" fontId="9" fillId="0" borderId="5" xfId="0" applyNumberFormat="1" applyFont="1" applyBorder="1"/>
    <xf numFmtId="166" fontId="16" fillId="0" borderId="8" xfId="1" applyNumberFormat="1" applyFont="1" applyBorder="1" applyAlignment="1">
      <alignment vertical="center"/>
    </xf>
    <xf numFmtId="166" fontId="38" fillId="0" borderId="5" xfId="1" applyNumberFormat="1" applyFont="1" applyBorder="1"/>
    <xf numFmtId="3" fontId="5" fillId="0" borderId="9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0" fillId="0" borderId="0" xfId="0" applyBorder="1"/>
    <xf numFmtId="167" fontId="5" fillId="0" borderId="0" xfId="1" applyNumberFormat="1" applyFont="1" applyBorder="1" applyAlignment="1">
      <alignment vertical="top"/>
    </xf>
    <xf numFmtId="3" fontId="15" fillId="0" borderId="0" xfId="0" applyNumberFormat="1" applyFont="1" applyBorder="1" applyAlignment="1">
      <alignment vertical="center"/>
    </xf>
    <xf numFmtId="3" fontId="16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/>
    <xf numFmtId="0" fontId="12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vertical="top"/>
    </xf>
    <xf numFmtId="3" fontId="12" fillId="0" borderId="0" xfId="0" applyNumberFormat="1" applyFont="1" applyBorder="1" applyAlignment="1">
      <alignment vertical="center"/>
    </xf>
    <xf numFmtId="167" fontId="5" fillId="0" borderId="0" xfId="1" applyNumberFormat="1" applyFont="1" applyBorder="1" applyAlignment="1">
      <alignment vertical="center"/>
    </xf>
    <xf numFmtId="167" fontId="5" fillId="0" borderId="0" xfId="1" applyNumberFormat="1" applyFont="1" applyBorder="1" applyAlignment="1">
      <alignment vertical="top" wrapText="1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3" fontId="5" fillId="0" borderId="8" xfId="0" applyNumberFormat="1" applyFont="1" applyBorder="1" applyAlignment="1">
      <alignment vertical="center"/>
    </xf>
    <xf numFmtId="3" fontId="15" fillId="0" borderId="7" xfId="0" applyNumberFormat="1" applyFont="1" applyBorder="1" applyAlignment="1">
      <alignment vertical="center"/>
    </xf>
    <xf numFmtId="3" fontId="15" fillId="0" borderId="2" xfId="0" applyNumberFormat="1" applyFont="1" applyBorder="1" applyAlignment="1">
      <alignment vertical="center"/>
    </xf>
    <xf numFmtId="3" fontId="5" fillId="0" borderId="5" xfId="0" applyNumberFormat="1" applyFont="1" applyBorder="1" applyAlignment="1">
      <alignment vertical="center"/>
    </xf>
    <xf numFmtId="3" fontId="16" fillId="0" borderId="5" xfId="0" applyNumberFormat="1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3" fontId="12" fillId="0" borderId="65" xfId="0" applyNumberFormat="1" applyFont="1" applyBorder="1" applyAlignment="1">
      <alignment vertical="center"/>
    </xf>
    <xf numFmtId="3" fontId="12" fillId="0" borderId="66" xfId="0" applyNumberFormat="1" applyFont="1" applyBorder="1" applyAlignment="1">
      <alignment vertical="center"/>
    </xf>
    <xf numFmtId="3" fontId="12" fillId="0" borderId="67" xfId="0" applyNumberFormat="1" applyFont="1" applyBorder="1" applyAlignment="1">
      <alignment vertical="center"/>
    </xf>
    <xf numFmtId="3" fontId="10" fillId="0" borderId="7" xfId="0" applyNumberFormat="1" applyFont="1" applyBorder="1" applyAlignment="1">
      <alignment vertical="center"/>
    </xf>
    <xf numFmtId="3" fontId="12" fillId="0" borderId="68" xfId="0" applyNumberFormat="1" applyFont="1" applyBorder="1" applyAlignment="1">
      <alignment vertical="center"/>
    </xf>
    <xf numFmtId="3" fontId="12" fillId="0" borderId="69" xfId="0" applyNumberFormat="1" applyFont="1" applyBorder="1" applyAlignment="1">
      <alignment vertical="center"/>
    </xf>
    <xf numFmtId="3" fontId="12" fillId="0" borderId="70" xfId="0" applyNumberFormat="1" applyFont="1" applyBorder="1" applyAlignment="1">
      <alignment vertical="center"/>
    </xf>
    <xf numFmtId="3" fontId="12" fillId="0" borderId="7" xfId="0" applyNumberFormat="1" applyFont="1" applyBorder="1" applyAlignment="1">
      <alignment vertical="center"/>
    </xf>
    <xf numFmtId="0" fontId="12" fillId="0" borderId="12" xfId="0" applyFont="1" applyBorder="1" applyAlignment="1">
      <alignment horizontal="left" vertical="center"/>
    </xf>
    <xf numFmtId="0" fontId="12" fillId="0" borderId="15" xfId="0" applyFont="1" applyBorder="1" applyAlignment="1"/>
    <xf numFmtId="0" fontId="5" fillId="0" borderId="20" xfId="0" applyFont="1" applyBorder="1" applyAlignment="1">
      <alignment vertical="center"/>
    </xf>
    <xf numFmtId="3" fontId="12" fillId="0" borderId="5" xfId="0" applyNumberFormat="1" applyFont="1" applyBorder="1" applyAlignment="1">
      <alignment vertical="center"/>
    </xf>
    <xf numFmtId="3" fontId="5" fillId="0" borderId="71" xfId="0" applyNumberFormat="1" applyFont="1" applyBorder="1" applyAlignment="1">
      <alignment vertical="center"/>
    </xf>
    <xf numFmtId="167" fontId="5" fillId="0" borderId="21" xfId="1" applyNumberFormat="1" applyFont="1" applyBorder="1" applyAlignment="1">
      <alignment vertical="top"/>
    </xf>
    <xf numFmtId="3" fontId="16" fillId="0" borderId="7" xfId="0" applyNumberFormat="1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3" fontId="5" fillId="0" borderId="33" xfId="0" applyNumberFormat="1" applyFont="1" applyBorder="1" applyAlignment="1">
      <alignment vertical="top"/>
    </xf>
    <xf numFmtId="0" fontId="12" fillId="0" borderId="25" xfId="0" applyFont="1" applyBorder="1" applyAlignment="1">
      <alignment horizontal="left" vertical="center"/>
    </xf>
    <xf numFmtId="0" fontId="12" fillId="0" borderId="27" xfId="0" applyFont="1" applyBorder="1" applyAlignment="1"/>
    <xf numFmtId="0" fontId="12" fillId="0" borderId="28" xfId="0" applyFont="1" applyBorder="1" applyAlignment="1"/>
    <xf numFmtId="3" fontId="5" fillId="0" borderId="21" xfId="0" applyNumberFormat="1" applyFont="1" applyBorder="1" applyAlignment="1">
      <alignment vertical="center"/>
    </xf>
    <xf numFmtId="167" fontId="5" fillId="0" borderId="21" xfId="1" applyNumberFormat="1" applyFont="1" applyBorder="1" applyAlignment="1">
      <alignment vertical="center"/>
    </xf>
    <xf numFmtId="167" fontId="5" fillId="0" borderId="21" xfId="1" applyNumberFormat="1" applyFont="1" applyBorder="1" applyAlignment="1">
      <alignment vertical="top" wrapText="1"/>
    </xf>
    <xf numFmtId="3" fontId="5" fillId="0" borderId="33" xfId="0" applyNumberFormat="1" applyFont="1" applyBorder="1" applyAlignment="1">
      <alignment vertical="center"/>
    </xf>
    <xf numFmtId="0" fontId="12" fillId="0" borderId="27" xfId="0" applyFont="1" applyBorder="1" applyAlignment="1">
      <alignment horizontal="left" vertical="center"/>
    </xf>
    <xf numFmtId="0" fontId="5" fillId="0" borderId="27" xfId="0" applyFont="1" applyBorder="1" applyAlignment="1">
      <alignment vertical="center"/>
    </xf>
    <xf numFmtId="0" fontId="12" fillId="0" borderId="27" xfId="0" applyFont="1" applyBorder="1" applyAlignment="1">
      <alignment horizontal="center" vertical="center"/>
    </xf>
    <xf numFmtId="0" fontId="12" fillId="0" borderId="27" xfId="0" applyFont="1" applyBorder="1" applyAlignment="1">
      <alignment horizontal="left"/>
    </xf>
    <xf numFmtId="0" fontId="12" fillId="0" borderId="20" xfId="0" applyFont="1" applyBorder="1" applyAlignment="1">
      <alignment horizontal="center" vertical="center"/>
    </xf>
    <xf numFmtId="0" fontId="0" fillId="0" borderId="27" xfId="0" applyBorder="1"/>
    <xf numFmtId="0" fontId="4" fillId="0" borderId="0" xfId="0" applyFont="1" applyBorder="1"/>
    <xf numFmtId="166" fontId="9" fillId="0" borderId="27" xfId="1" applyNumberFormat="1" applyFont="1" applyBorder="1"/>
    <xf numFmtId="166" fontId="0" fillId="0" borderId="27" xfId="1" applyNumberFormat="1" applyFont="1" applyBorder="1"/>
    <xf numFmtId="166" fontId="16" fillId="0" borderId="7" xfId="1" applyNumberFormat="1" applyFont="1" applyBorder="1" applyAlignment="1">
      <alignment vertical="center"/>
    </xf>
    <xf numFmtId="167" fontId="5" fillId="0" borderId="27" xfId="1" applyNumberFormat="1" applyFont="1" applyBorder="1" applyAlignment="1">
      <alignment vertical="top"/>
    </xf>
    <xf numFmtId="3" fontId="5" fillId="0" borderId="27" xfId="0" applyNumberFormat="1" applyFont="1" applyBorder="1" applyAlignment="1">
      <alignment vertical="center"/>
    </xf>
    <xf numFmtId="0" fontId="4" fillId="0" borderId="9" xfId="0" applyFont="1" applyBorder="1"/>
    <xf numFmtId="0" fontId="4" fillId="0" borderId="9" xfId="0" applyFont="1" applyBorder="1" applyAlignment="1">
      <alignment vertical="center"/>
    </xf>
    <xf numFmtId="0" fontId="4" fillId="0" borderId="9" xfId="0" applyFont="1" applyBorder="1" applyAlignment="1">
      <alignment vertical="top"/>
    </xf>
    <xf numFmtId="166" fontId="37" fillId="0" borderId="9" xfId="1" applyNumberFormat="1" applyFont="1" applyBorder="1" applyAlignment="1">
      <alignment vertical="center"/>
    </xf>
    <xf numFmtId="166" fontId="37" fillId="0" borderId="9" xfId="1" applyNumberFormat="1" applyFont="1" applyBorder="1"/>
    <xf numFmtId="166" fontId="4" fillId="0" borderId="9" xfId="1" applyNumberFormat="1" applyFont="1" applyBorder="1"/>
    <xf numFmtId="166" fontId="4" fillId="0" borderId="9" xfId="1" applyNumberFormat="1" applyFont="1" applyBorder="1" applyAlignment="1">
      <alignment vertical="center"/>
    </xf>
    <xf numFmtId="3" fontId="15" fillId="0" borderId="6" xfId="0" applyNumberFormat="1" applyFont="1" applyBorder="1" applyAlignment="1">
      <alignment vertical="center"/>
    </xf>
    <xf numFmtId="3" fontId="15" fillId="0" borderId="5" xfId="0" applyNumberFormat="1" applyFont="1" applyBorder="1" applyAlignment="1">
      <alignment vertical="center"/>
    </xf>
    <xf numFmtId="0" fontId="9" fillId="0" borderId="18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166" fontId="39" fillId="0" borderId="0" xfId="0" applyNumberFormat="1" applyFont="1"/>
    <xf numFmtId="168" fontId="0" fillId="0" borderId="0" xfId="0" applyNumberFormat="1"/>
    <xf numFmtId="169" fontId="2" fillId="0" borderId="5" xfId="6" applyNumberFormat="1" applyFont="1" applyBorder="1"/>
    <xf numFmtId="10" fontId="2" fillId="0" borderId="5" xfId="6" applyNumberFormat="1" applyFont="1" applyBorder="1"/>
    <xf numFmtId="10" fontId="2" fillId="0" borderId="5" xfId="1" applyNumberFormat="1" applyFont="1" applyBorder="1"/>
    <xf numFmtId="165" fontId="0" fillId="0" borderId="0" xfId="0" applyNumberFormat="1"/>
    <xf numFmtId="10" fontId="0" fillId="0" borderId="5" xfId="6" applyNumberFormat="1" applyFont="1" applyBorder="1"/>
    <xf numFmtId="43" fontId="0" fillId="0" borderId="5" xfId="1" applyNumberFormat="1" applyFont="1" applyBorder="1"/>
    <xf numFmtId="10" fontId="0" fillId="0" borderId="5" xfId="1" applyNumberFormat="1" applyFont="1" applyBorder="1"/>
    <xf numFmtId="43" fontId="0" fillId="0" borderId="0" xfId="1" applyFont="1"/>
    <xf numFmtId="0" fontId="9" fillId="0" borderId="0" xfId="0" applyFont="1"/>
    <xf numFmtId="43" fontId="9" fillId="0" borderId="0" xfId="1" applyFont="1"/>
    <xf numFmtId="0" fontId="29" fillId="0" borderId="57" xfId="0" applyFont="1" applyBorder="1" applyAlignment="1">
      <alignment vertical="top" wrapText="1"/>
    </xf>
    <xf numFmtId="0" fontId="29" fillId="0" borderId="58" xfId="0" applyFont="1" applyBorder="1" applyAlignment="1">
      <alignment vertical="top" wrapText="1"/>
    </xf>
    <xf numFmtId="0" fontId="25" fillId="0" borderId="57" xfId="0" applyFont="1" applyBorder="1" applyAlignment="1">
      <alignment vertical="top" wrapText="1"/>
    </xf>
    <xf numFmtId="0" fontId="25" fillId="0" borderId="58" xfId="0" applyFont="1" applyBorder="1" applyAlignment="1">
      <alignment vertical="top" wrapText="1"/>
    </xf>
    <xf numFmtId="0" fontId="25" fillId="0" borderId="11" xfId="0" applyFont="1" applyBorder="1" applyAlignment="1">
      <alignment vertical="top" wrapText="1"/>
    </xf>
    <xf numFmtId="0" fontId="25" fillId="0" borderId="59" xfId="0" applyFont="1" applyBorder="1" applyAlignment="1">
      <alignment vertical="top" wrapText="1"/>
    </xf>
    <xf numFmtId="165" fontId="34" fillId="8" borderId="50" xfId="0" applyNumberFormat="1" applyFont="1" applyFill="1" applyBorder="1" applyAlignment="1">
      <alignment vertical="top" wrapText="1"/>
    </xf>
    <xf numFmtId="165" fontId="34" fillId="8" borderId="62" xfId="0" applyNumberFormat="1" applyFont="1" applyFill="1" applyBorder="1" applyAlignment="1">
      <alignment vertical="top" wrapText="1"/>
    </xf>
  </cellXfs>
  <cellStyles count="7">
    <cellStyle name="Comma" xfId="1" builtinId="3"/>
    <cellStyle name="Comma [0]" xfId="2" builtinId="6"/>
    <cellStyle name="Description" xfId="4"/>
    <cellStyle name="Item" xfId="3"/>
    <cellStyle name="Normal" xfId="0" builtinId="0"/>
    <cellStyle name="Percent" xfId="6" builtinId="5"/>
    <cellStyle name="Unit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Typical%20Bills%20of%20Quantiti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gege%20%20Costing%20Model%20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ot 5 Initially Road 1"/>
      <sheetName val="Cover page"/>
      <sheetName val="Lot 5 b_Summary (2)"/>
      <sheetName val="Lot 5 b_Summary"/>
      <sheetName val="Lot 6 Initially Road 1"/>
      <sheetName val="Lot 7 Initially Road 1"/>
      <sheetName val="Lot 7 Initially Road 2"/>
    </sheetNames>
    <sheetDataSet>
      <sheetData sheetId="0"/>
      <sheetData sheetId="1"/>
      <sheetData sheetId="2"/>
      <sheetData sheetId="3">
        <row r="3">
          <cell r="B3" t="str">
            <v>District:  Buliisa</v>
          </cell>
          <cell r="D3" t="str">
            <v>Lot  05 b</v>
          </cell>
        </row>
      </sheetData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"/>
      <sheetName val="Assumptions"/>
      <sheetName val="BOQ"/>
      <sheetName val="Construct &amp; maint of  Access Rd"/>
      <sheetName val="Setting out and site clearance "/>
      <sheetName val="Earth Works"/>
      <sheetName val="Drainage Works"/>
      <sheetName val="Graveling"/>
      <sheetName val="Rate Drainage works"/>
      <sheetName val="Labour  Rates"/>
      <sheetName val="Equipment rates"/>
    </sheetNames>
    <sheetDataSet>
      <sheetData sheetId="0"/>
      <sheetData sheetId="1"/>
      <sheetData sheetId="2">
        <row r="42">
          <cell r="B42" t="str">
            <v>b) Opening / re-excavation of side, mitre, catch water and other spec. drains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37"/>
  <sheetViews>
    <sheetView workbookViewId="0">
      <selection activeCell="I16" sqref="I16"/>
    </sheetView>
  </sheetViews>
  <sheetFormatPr defaultColWidth="8.85546875" defaultRowHeight="15"/>
  <sheetData>
    <row r="1" ht="20.100000000000001" customHeight="1"/>
    <row r="2" ht="15" customHeight="1"/>
    <row r="27" ht="24.95" customHeight="1"/>
    <row r="37" ht="20.100000000000001" customHeight="1"/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>
  <dimension ref="A1:I54"/>
  <sheetViews>
    <sheetView topLeftCell="A47" workbookViewId="0">
      <selection activeCell="A57" sqref="A57:F77"/>
    </sheetView>
  </sheetViews>
  <sheetFormatPr defaultColWidth="8.85546875" defaultRowHeight="15"/>
  <cols>
    <col min="1" max="1" width="46.42578125" customWidth="1"/>
    <col min="2" max="3" width="13.28515625" bestFit="1" customWidth="1"/>
    <col min="4" max="4" width="12.28515625" customWidth="1"/>
    <col min="5" max="5" width="14.140625" customWidth="1"/>
    <col min="6" max="6" width="10.7109375" customWidth="1"/>
    <col min="7" max="7" width="11" customWidth="1"/>
    <col min="8" max="8" width="11.42578125" bestFit="1" customWidth="1"/>
  </cols>
  <sheetData>
    <row r="1" spans="1:7" ht="60">
      <c r="A1" s="177" t="s">
        <v>151</v>
      </c>
      <c r="B1" s="168"/>
      <c r="C1" s="168"/>
      <c r="D1" s="168"/>
    </row>
    <row r="2" spans="1:7" ht="15.75" thickBot="1">
      <c r="A2" s="168"/>
      <c r="B2" s="169"/>
      <c r="C2" s="169"/>
      <c r="D2" s="178"/>
    </row>
    <row r="3" spans="1:7">
      <c r="A3" s="323" t="s">
        <v>267</v>
      </c>
      <c r="B3" s="323" t="s">
        <v>268</v>
      </c>
      <c r="C3" s="323" t="s">
        <v>269</v>
      </c>
      <c r="D3" s="325" t="s">
        <v>270</v>
      </c>
      <c r="E3" s="327" t="s">
        <v>271</v>
      </c>
      <c r="F3" s="202" t="s">
        <v>153</v>
      </c>
      <c r="G3" t="s">
        <v>306</v>
      </c>
    </row>
    <row r="4" spans="1:7" ht="15.75" thickBot="1">
      <c r="A4" s="324"/>
      <c r="B4" s="324"/>
      <c r="C4" s="324"/>
      <c r="D4" s="326"/>
      <c r="E4" s="328"/>
      <c r="F4" s="203"/>
    </row>
    <row r="5" spans="1:7" ht="15.75" thickBot="1">
      <c r="A5" s="204" t="s">
        <v>272</v>
      </c>
      <c r="B5" s="205" t="s">
        <v>273</v>
      </c>
      <c r="C5" s="216">
        <v>100</v>
      </c>
      <c r="D5" s="206">
        <v>24000</v>
      </c>
      <c r="E5" s="207">
        <f t="shared" ref="E5:E17" si="0">D5/C5</f>
        <v>240</v>
      </c>
      <c r="F5" s="208">
        <v>0.5</v>
      </c>
      <c r="G5" s="211">
        <f t="shared" ref="G5:G17" si="1">E5+E5*F5</f>
        <v>360</v>
      </c>
    </row>
    <row r="6" spans="1:7" ht="26.25" thickBot="1">
      <c r="A6" s="204" t="s">
        <v>274</v>
      </c>
      <c r="B6" s="205" t="s">
        <v>275</v>
      </c>
      <c r="C6" s="216">
        <v>350</v>
      </c>
      <c r="D6" s="206">
        <v>15000</v>
      </c>
      <c r="E6" s="207">
        <f t="shared" si="0"/>
        <v>42.857142857142854</v>
      </c>
      <c r="F6" s="208">
        <v>0.5</v>
      </c>
      <c r="G6" s="211">
        <f t="shared" si="1"/>
        <v>64.285714285714278</v>
      </c>
    </row>
    <row r="7" spans="1:7" ht="26.25" thickBot="1">
      <c r="A7" s="204" t="s">
        <v>276</v>
      </c>
      <c r="B7" s="205" t="s">
        <v>275</v>
      </c>
      <c r="C7" s="216">
        <v>200</v>
      </c>
      <c r="D7" s="206">
        <v>15000</v>
      </c>
      <c r="E7" s="207">
        <f t="shared" si="0"/>
        <v>75</v>
      </c>
      <c r="F7" s="208">
        <v>0.5</v>
      </c>
      <c r="G7" s="211">
        <f t="shared" si="1"/>
        <v>112.5</v>
      </c>
    </row>
    <row r="8" spans="1:7" ht="26.25" thickBot="1">
      <c r="A8" s="204" t="s">
        <v>277</v>
      </c>
      <c r="B8" s="205" t="s">
        <v>275</v>
      </c>
      <c r="C8" s="216">
        <v>100</v>
      </c>
      <c r="D8" s="206">
        <v>15000</v>
      </c>
      <c r="E8" s="207">
        <f t="shared" si="0"/>
        <v>150</v>
      </c>
      <c r="F8" s="208">
        <v>0.5</v>
      </c>
      <c r="G8" s="211">
        <f t="shared" si="1"/>
        <v>225</v>
      </c>
    </row>
    <row r="9" spans="1:7" ht="26.25" thickBot="1">
      <c r="A9" s="204" t="s">
        <v>278</v>
      </c>
      <c r="B9" s="205" t="s">
        <v>279</v>
      </c>
      <c r="C9" s="216">
        <v>175</v>
      </c>
      <c r="D9" s="206">
        <v>15000</v>
      </c>
      <c r="E9" s="207">
        <f t="shared" si="0"/>
        <v>85.714285714285708</v>
      </c>
      <c r="F9" s="208">
        <v>0.5</v>
      </c>
      <c r="G9" s="211">
        <f t="shared" si="1"/>
        <v>128.57142857142856</v>
      </c>
    </row>
    <row r="10" spans="1:7" ht="15.75" thickBot="1">
      <c r="A10" s="204" t="s">
        <v>280</v>
      </c>
      <c r="B10" s="205" t="s">
        <v>281</v>
      </c>
      <c r="C10" s="216">
        <v>5</v>
      </c>
      <c r="D10" s="206">
        <v>15000</v>
      </c>
      <c r="E10" s="207">
        <f t="shared" si="0"/>
        <v>3000</v>
      </c>
      <c r="F10" s="208">
        <v>0.5</v>
      </c>
      <c r="G10" s="211">
        <f t="shared" si="1"/>
        <v>4500</v>
      </c>
    </row>
    <row r="11" spans="1:7" ht="15.75" thickBot="1">
      <c r="A11" s="204" t="s">
        <v>282</v>
      </c>
      <c r="B11" s="205" t="s">
        <v>281</v>
      </c>
      <c r="C11" s="216">
        <v>2</v>
      </c>
      <c r="D11" s="206">
        <v>15000</v>
      </c>
      <c r="E11" s="207">
        <f t="shared" si="0"/>
        <v>7500</v>
      </c>
      <c r="F11" s="208">
        <v>0.5</v>
      </c>
      <c r="G11" s="211">
        <f t="shared" si="1"/>
        <v>11250</v>
      </c>
    </row>
    <row r="12" spans="1:7" ht="15.75" thickBot="1">
      <c r="A12" s="204" t="s">
        <v>283</v>
      </c>
      <c r="B12" s="205"/>
      <c r="C12" s="216">
        <v>3</v>
      </c>
      <c r="D12" s="206">
        <v>15000</v>
      </c>
      <c r="E12" s="207">
        <f t="shared" si="0"/>
        <v>5000</v>
      </c>
      <c r="F12" s="208">
        <v>0.5</v>
      </c>
      <c r="G12" s="211">
        <f t="shared" si="1"/>
        <v>7500</v>
      </c>
    </row>
    <row r="13" spans="1:7" ht="26.25" thickBot="1">
      <c r="A13" s="204" t="s">
        <v>284</v>
      </c>
      <c r="B13" s="205" t="s">
        <v>279</v>
      </c>
      <c r="C13" s="216">
        <v>5</v>
      </c>
      <c r="D13" s="206">
        <v>15000</v>
      </c>
      <c r="E13" s="207">
        <f t="shared" si="0"/>
        <v>3000</v>
      </c>
      <c r="F13" s="208">
        <v>0.5</v>
      </c>
      <c r="G13" s="211">
        <f t="shared" si="1"/>
        <v>4500</v>
      </c>
    </row>
    <row r="14" spans="1:7" ht="15.75" thickBot="1">
      <c r="A14" s="204" t="s">
        <v>285</v>
      </c>
      <c r="B14" s="205" t="s">
        <v>286</v>
      </c>
      <c r="C14" s="216">
        <v>3.5</v>
      </c>
      <c r="D14" s="206">
        <v>15000</v>
      </c>
      <c r="E14" s="207">
        <f t="shared" si="0"/>
        <v>4285.7142857142853</v>
      </c>
      <c r="F14" s="208">
        <v>0.5</v>
      </c>
      <c r="G14" s="211">
        <f t="shared" si="1"/>
        <v>6428.5714285714275</v>
      </c>
    </row>
    <row r="15" spans="1:7" ht="15.75" thickBot="1">
      <c r="A15" s="204" t="s">
        <v>287</v>
      </c>
      <c r="B15" s="205" t="s">
        <v>286</v>
      </c>
      <c r="C15" s="216">
        <v>3</v>
      </c>
      <c r="D15" s="206">
        <v>15000</v>
      </c>
      <c r="E15" s="207">
        <f t="shared" si="0"/>
        <v>5000</v>
      </c>
      <c r="F15" s="208">
        <v>0.5</v>
      </c>
      <c r="G15" s="211">
        <f t="shared" si="1"/>
        <v>7500</v>
      </c>
    </row>
    <row r="16" spans="1:7" ht="15.75" thickBot="1">
      <c r="A16" s="204" t="s">
        <v>288</v>
      </c>
      <c r="B16" s="205" t="s">
        <v>286</v>
      </c>
      <c r="C16" s="216">
        <v>2</v>
      </c>
      <c r="D16" s="206">
        <v>15000</v>
      </c>
      <c r="E16" s="207">
        <f t="shared" si="0"/>
        <v>7500</v>
      </c>
      <c r="F16" s="208">
        <v>0.5</v>
      </c>
      <c r="G16" s="211">
        <f t="shared" si="1"/>
        <v>11250</v>
      </c>
    </row>
    <row r="17" spans="1:7" ht="15.75" thickBot="1">
      <c r="A17" s="204" t="s">
        <v>289</v>
      </c>
      <c r="B17" s="205" t="s">
        <v>286</v>
      </c>
      <c r="C17" s="216">
        <v>0.8</v>
      </c>
      <c r="D17" s="206">
        <v>15000</v>
      </c>
      <c r="E17" s="207">
        <f t="shared" si="0"/>
        <v>18750</v>
      </c>
      <c r="F17" s="208">
        <v>0.5</v>
      </c>
      <c r="G17" s="211">
        <f t="shared" si="1"/>
        <v>28125</v>
      </c>
    </row>
    <row r="18" spans="1:7" ht="26.25" thickBot="1">
      <c r="A18" s="204" t="s">
        <v>290</v>
      </c>
      <c r="B18" s="205" t="s">
        <v>279</v>
      </c>
      <c r="C18" s="216">
        <v>8.5</v>
      </c>
      <c r="D18" s="206">
        <v>15000</v>
      </c>
      <c r="E18" s="209"/>
      <c r="F18" s="203"/>
    </row>
    <row r="19" spans="1:7" ht="26.25" thickBot="1">
      <c r="A19" s="204" t="s">
        <v>291</v>
      </c>
      <c r="B19" s="205" t="s">
        <v>279</v>
      </c>
      <c r="C19" s="216">
        <v>7</v>
      </c>
      <c r="D19" s="206">
        <v>15000</v>
      </c>
      <c r="E19" s="209"/>
      <c r="F19" s="203"/>
    </row>
    <row r="20" spans="1:7" ht="26.25" thickBot="1">
      <c r="A20" s="204" t="s">
        <v>292</v>
      </c>
      <c r="B20" s="205" t="s">
        <v>279</v>
      </c>
      <c r="C20" s="216">
        <v>6.5</v>
      </c>
      <c r="D20" s="206">
        <v>15000</v>
      </c>
      <c r="E20" s="209"/>
      <c r="F20" s="203"/>
    </row>
    <row r="21" spans="1:7" ht="26.25" thickBot="1">
      <c r="A21" s="204" t="s">
        <v>293</v>
      </c>
      <c r="B21" s="205" t="s">
        <v>279</v>
      </c>
      <c r="C21" s="216">
        <v>5.5</v>
      </c>
      <c r="D21" s="206">
        <v>15000</v>
      </c>
      <c r="E21" s="209"/>
      <c r="F21" s="203"/>
    </row>
    <row r="22" spans="1:7" ht="26.25" thickBot="1">
      <c r="A22" s="204" t="s">
        <v>294</v>
      </c>
      <c r="B22" s="205" t="s">
        <v>279</v>
      </c>
      <c r="C22" s="216">
        <v>5</v>
      </c>
      <c r="D22" s="206">
        <v>15000</v>
      </c>
      <c r="E22" s="209"/>
      <c r="F22" s="203"/>
    </row>
    <row r="23" spans="1:7" ht="26.25" thickBot="1">
      <c r="A23" s="204" t="s">
        <v>295</v>
      </c>
      <c r="B23" s="205" t="s">
        <v>279</v>
      </c>
      <c r="C23" s="216">
        <v>4.5</v>
      </c>
      <c r="D23" s="206">
        <v>15000</v>
      </c>
      <c r="E23" s="209"/>
      <c r="F23" s="203"/>
    </row>
    <row r="24" spans="1:7" ht="26.25" thickBot="1">
      <c r="A24" s="204" t="s">
        <v>296</v>
      </c>
      <c r="B24" s="205" t="s">
        <v>275</v>
      </c>
      <c r="C24" s="216" t="s">
        <v>357</v>
      </c>
      <c r="D24" s="206">
        <v>15000</v>
      </c>
      <c r="E24" s="209"/>
      <c r="F24" s="203"/>
    </row>
    <row r="25" spans="1:7" ht="26.25" thickBot="1">
      <c r="A25" s="204" t="s">
        <v>297</v>
      </c>
      <c r="B25" s="205" t="s">
        <v>279</v>
      </c>
      <c r="C25" s="216" t="s">
        <v>358</v>
      </c>
      <c r="D25" s="206">
        <v>15000</v>
      </c>
      <c r="E25" s="209"/>
      <c r="F25" s="203"/>
    </row>
    <row r="26" spans="1:7" ht="26.25" thickBot="1">
      <c r="A26" s="204" t="s">
        <v>298</v>
      </c>
      <c r="B26" s="205" t="s">
        <v>279</v>
      </c>
      <c r="C26" s="215">
        <v>41434</v>
      </c>
      <c r="D26" s="206">
        <v>15000</v>
      </c>
      <c r="E26" s="209"/>
      <c r="F26" s="203"/>
    </row>
    <row r="27" spans="1:7" ht="26.25" thickBot="1">
      <c r="A27" s="204" t="s">
        <v>299</v>
      </c>
      <c r="B27" s="205" t="s">
        <v>279</v>
      </c>
      <c r="C27" s="216" t="s">
        <v>359</v>
      </c>
      <c r="D27" s="206">
        <v>15000</v>
      </c>
      <c r="E27" s="209"/>
      <c r="F27" s="203"/>
    </row>
    <row r="28" spans="1:7" ht="15.75" thickBot="1">
      <c r="A28" s="204" t="s">
        <v>300</v>
      </c>
      <c r="B28" s="205" t="s">
        <v>281</v>
      </c>
      <c r="C28" s="216" t="s">
        <v>336</v>
      </c>
      <c r="D28" s="206">
        <v>15000</v>
      </c>
      <c r="E28" s="209"/>
      <c r="F28" s="203"/>
    </row>
    <row r="29" spans="1:7" ht="26.25" thickBot="1">
      <c r="A29" s="204" t="s">
        <v>301</v>
      </c>
      <c r="B29" s="205" t="s">
        <v>279</v>
      </c>
      <c r="C29" s="215">
        <v>41337</v>
      </c>
      <c r="D29" s="206">
        <v>15000</v>
      </c>
      <c r="E29" s="209"/>
      <c r="F29" s="203"/>
    </row>
    <row r="30" spans="1:7" ht="26.25" thickBot="1">
      <c r="A30" s="204" t="s">
        <v>302</v>
      </c>
      <c r="B30" s="205" t="s">
        <v>279</v>
      </c>
      <c r="C30" s="216" t="s">
        <v>360</v>
      </c>
      <c r="D30" s="206">
        <v>15000</v>
      </c>
      <c r="E30" s="209"/>
      <c r="F30" s="203"/>
    </row>
    <row r="31" spans="1:7" ht="26.25" thickBot="1">
      <c r="A31" s="204" t="s">
        <v>303</v>
      </c>
      <c r="B31" s="205" t="s">
        <v>279</v>
      </c>
      <c r="C31" s="216" t="s">
        <v>361</v>
      </c>
      <c r="D31" s="206">
        <v>15000</v>
      </c>
      <c r="E31" s="209"/>
      <c r="F31" s="203"/>
    </row>
    <row r="32" spans="1:7" ht="26.25" thickBot="1">
      <c r="A32" s="204" t="s">
        <v>304</v>
      </c>
      <c r="B32" s="205" t="s">
        <v>279</v>
      </c>
      <c r="C32" s="215">
        <v>41276</v>
      </c>
      <c r="D32" s="206">
        <v>15000</v>
      </c>
      <c r="E32" s="209"/>
      <c r="F32" s="203"/>
    </row>
    <row r="33" spans="1:8" ht="26.25" thickBot="1">
      <c r="A33" s="204" t="s">
        <v>305</v>
      </c>
      <c r="B33" s="205" t="s">
        <v>275</v>
      </c>
      <c r="C33" s="215">
        <v>41372</v>
      </c>
      <c r="D33" s="206">
        <v>15000</v>
      </c>
      <c r="E33" s="209"/>
      <c r="F33" s="210"/>
    </row>
    <row r="40" spans="1:8">
      <c r="A40" s="212" t="s">
        <v>337</v>
      </c>
    </row>
    <row r="41" spans="1:8" ht="15.75">
      <c r="A41" s="217"/>
      <c r="B41" s="217" t="s">
        <v>12</v>
      </c>
      <c r="C41" s="217"/>
      <c r="D41" s="217" t="s">
        <v>136</v>
      </c>
      <c r="E41" s="217" t="s">
        <v>362</v>
      </c>
      <c r="F41" s="217" t="s">
        <v>363</v>
      </c>
      <c r="G41" s="217" t="s">
        <v>338</v>
      </c>
      <c r="H41" s="217" t="s">
        <v>364</v>
      </c>
    </row>
    <row r="42" spans="1:8" ht="15.75">
      <c r="A42" s="218" t="s">
        <v>324</v>
      </c>
      <c r="B42" s="219" t="s">
        <v>325</v>
      </c>
      <c r="C42" s="220"/>
      <c r="D42" s="221">
        <v>2500</v>
      </c>
      <c r="E42" s="222">
        <f>D42*0.5</f>
        <v>1250</v>
      </c>
      <c r="F42" s="222">
        <f>D42+E42</f>
        <v>3750</v>
      </c>
      <c r="G42" s="222">
        <f t="shared" ref="G42:G53" si="2">D42*8</f>
        <v>20000</v>
      </c>
      <c r="H42" s="222">
        <f>G42*1.5</f>
        <v>30000</v>
      </c>
    </row>
    <row r="43" spans="1:8" ht="15.75">
      <c r="A43" s="218" t="s">
        <v>326</v>
      </c>
      <c r="B43" s="219" t="s">
        <v>325</v>
      </c>
      <c r="C43" s="220"/>
      <c r="D43" s="221">
        <v>3000</v>
      </c>
      <c r="E43" s="222">
        <f t="shared" ref="E43:E53" si="3">D43*0.5</f>
        <v>1500</v>
      </c>
      <c r="F43" s="222">
        <f t="shared" ref="F43:F53" si="4">D43+E43</f>
        <v>4500</v>
      </c>
      <c r="G43" s="222">
        <f t="shared" si="2"/>
        <v>24000</v>
      </c>
      <c r="H43" s="222">
        <f t="shared" ref="H43:H53" si="5">G43*1.5</f>
        <v>36000</v>
      </c>
    </row>
    <row r="44" spans="1:8" ht="15.75">
      <c r="A44" s="218" t="s">
        <v>327</v>
      </c>
      <c r="B44" s="219" t="s">
        <v>325</v>
      </c>
      <c r="C44" s="220"/>
      <c r="D44" s="221">
        <v>4000</v>
      </c>
      <c r="E44" s="222">
        <f t="shared" si="3"/>
        <v>2000</v>
      </c>
      <c r="F44" s="222">
        <f t="shared" si="4"/>
        <v>6000</v>
      </c>
      <c r="G44" s="222">
        <f t="shared" si="2"/>
        <v>32000</v>
      </c>
      <c r="H44" s="222">
        <f t="shared" si="5"/>
        <v>48000</v>
      </c>
    </row>
    <row r="45" spans="1:8" ht="15.75">
      <c r="A45" s="218" t="s">
        <v>2</v>
      </c>
      <c r="B45" s="219" t="s">
        <v>325</v>
      </c>
      <c r="C45" s="220"/>
      <c r="D45" s="221">
        <v>5000</v>
      </c>
      <c r="E45" s="222">
        <f t="shared" si="3"/>
        <v>2500</v>
      </c>
      <c r="F45" s="222">
        <f t="shared" si="4"/>
        <v>7500</v>
      </c>
      <c r="G45" s="222">
        <f t="shared" si="2"/>
        <v>40000</v>
      </c>
      <c r="H45" s="222">
        <f t="shared" si="5"/>
        <v>60000</v>
      </c>
    </row>
    <row r="46" spans="1:8" ht="15.75">
      <c r="A46" s="223" t="s">
        <v>328</v>
      </c>
      <c r="B46" s="219" t="s">
        <v>325</v>
      </c>
      <c r="C46" s="220"/>
      <c r="D46" s="221">
        <v>10000</v>
      </c>
      <c r="E46" s="222">
        <f t="shared" si="3"/>
        <v>5000</v>
      </c>
      <c r="F46" s="222">
        <f t="shared" si="4"/>
        <v>15000</v>
      </c>
      <c r="G46" s="222">
        <f t="shared" si="2"/>
        <v>80000</v>
      </c>
      <c r="H46" s="222">
        <f t="shared" si="5"/>
        <v>120000</v>
      </c>
    </row>
    <row r="47" spans="1:8" ht="15.75">
      <c r="A47" s="218" t="s">
        <v>329</v>
      </c>
      <c r="B47" s="219" t="s">
        <v>325</v>
      </c>
      <c r="C47" s="220"/>
      <c r="D47" s="221">
        <v>15000</v>
      </c>
      <c r="E47" s="222">
        <f t="shared" si="3"/>
        <v>7500</v>
      </c>
      <c r="F47" s="222">
        <f t="shared" si="4"/>
        <v>22500</v>
      </c>
      <c r="G47" s="222">
        <f t="shared" si="2"/>
        <v>120000</v>
      </c>
      <c r="H47" s="222">
        <f t="shared" si="5"/>
        <v>180000</v>
      </c>
    </row>
    <row r="48" spans="1:8" ht="15.75">
      <c r="A48" s="223" t="s">
        <v>330</v>
      </c>
      <c r="B48" s="219" t="s">
        <v>325</v>
      </c>
      <c r="C48" s="220"/>
      <c r="D48" s="221">
        <v>3500</v>
      </c>
      <c r="E48" s="222">
        <f t="shared" si="3"/>
        <v>1750</v>
      </c>
      <c r="F48" s="222">
        <f t="shared" si="4"/>
        <v>5250</v>
      </c>
      <c r="G48" s="222">
        <f t="shared" si="2"/>
        <v>28000</v>
      </c>
      <c r="H48" s="222">
        <f t="shared" si="5"/>
        <v>42000</v>
      </c>
    </row>
    <row r="49" spans="1:9" ht="15.75">
      <c r="A49" s="218" t="s">
        <v>331</v>
      </c>
      <c r="B49" s="219" t="s">
        <v>325</v>
      </c>
      <c r="C49" s="220"/>
      <c r="D49" s="221">
        <v>3000</v>
      </c>
      <c r="E49" s="222">
        <f t="shared" si="3"/>
        <v>1500</v>
      </c>
      <c r="F49" s="222">
        <f t="shared" si="4"/>
        <v>4500</v>
      </c>
      <c r="G49" s="222">
        <f t="shared" si="2"/>
        <v>24000</v>
      </c>
      <c r="H49" s="222">
        <f t="shared" si="5"/>
        <v>36000</v>
      </c>
    </row>
    <row r="50" spans="1:9" ht="15.75">
      <c r="A50" s="218" t="s">
        <v>332</v>
      </c>
      <c r="B50" s="219" t="s">
        <v>325</v>
      </c>
      <c r="C50" s="220"/>
      <c r="D50" s="221">
        <v>5000</v>
      </c>
      <c r="E50" s="222">
        <f t="shared" si="3"/>
        <v>2500</v>
      </c>
      <c r="F50" s="222">
        <f t="shared" si="4"/>
        <v>7500</v>
      </c>
      <c r="G50" s="222">
        <f t="shared" si="2"/>
        <v>40000</v>
      </c>
      <c r="H50" s="222">
        <f t="shared" si="5"/>
        <v>60000</v>
      </c>
    </row>
    <row r="51" spans="1:9" ht="15.75">
      <c r="A51" s="218" t="s">
        <v>333</v>
      </c>
      <c r="B51" s="219" t="s">
        <v>325</v>
      </c>
      <c r="C51" s="220"/>
      <c r="D51" s="221">
        <v>4000</v>
      </c>
      <c r="E51" s="222">
        <f t="shared" si="3"/>
        <v>2000</v>
      </c>
      <c r="F51" s="222">
        <f t="shared" si="4"/>
        <v>6000</v>
      </c>
      <c r="G51" s="222">
        <f t="shared" si="2"/>
        <v>32000</v>
      </c>
      <c r="H51" s="222">
        <f t="shared" si="5"/>
        <v>48000</v>
      </c>
    </row>
    <row r="52" spans="1:9" ht="15.75">
      <c r="A52" s="218" t="s">
        <v>334</v>
      </c>
      <c r="B52" s="219" t="s">
        <v>325</v>
      </c>
      <c r="C52" s="220"/>
      <c r="D52" s="221">
        <v>5000</v>
      </c>
      <c r="E52" s="222">
        <f t="shared" si="3"/>
        <v>2500</v>
      </c>
      <c r="F52" s="222">
        <f t="shared" si="4"/>
        <v>7500</v>
      </c>
      <c r="G52" s="222">
        <f t="shared" si="2"/>
        <v>40000</v>
      </c>
      <c r="H52" s="222">
        <f t="shared" si="5"/>
        <v>60000</v>
      </c>
    </row>
    <row r="53" spans="1:9" ht="15.75">
      <c r="A53" s="218" t="s">
        <v>335</v>
      </c>
      <c r="B53" s="219" t="s">
        <v>325</v>
      </c>
      <c r="C53" s="220"/>
      <c r="D53" s="221">
        <v>4000</v>
      </c>
      <c r="E53" s="222">
        <f t="shared" si="3"/>
        <v>2000</v>
      </c>
      <c r="F53" s="222">
        <f t="shared" si="4"/>
        <v>6000</v>
      </c>
      <c r="G53" s="222">
        <f t="shared" si="2"/>
        <v>32000</v>
      </c>
      <c r="H53" s="222">
        <f t="shared" si="5"/>
        <v>48000</v>
      </c>
    </row>
    <row r="54" spans="1:9">
      <c r="E54" s="7"/>
      <c r="F54" s="7"/>
      <c r="G54" s="7"/>
      <c r="H54" s="7"/>
      <c r="I54" s="7"/>
    </row>
  </sheetData>
  <mergeCells count="5">
    <mergeCell ref="A3:A4"/>
    <mergeCell ref="B3:B4"/>
    <mergeCell ref="C3:C4"/>
    <mergeCell ref="D3:D4"/>
    <mergeCell ref="E3:E4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>
  <dimension ref="A1:F25"/>
  <sheetViews>
    <sheetView workbookViewId="0">
      <selection activeCell="D50" sqref="D50"/>
    </sheetView>
  </sheetViews>
  <sheetFormatPr defaultColWidth="8.85546875" defaultRowHeight="15"/>
  <cols>
    <col min="1" max="1" width="5.42578125" customWidth="1"/>
    <col min="2" max="2" width="75.140625" customWidth="1"/>
    <col min="4" max="4" width="19.42578125" customWidth="1"/>
    <col min="5" max="5" width="14.28515625" customWidth="1"/>
    <col min="6" max="6" width="13.28515625" customWidth="1"/>
  </cols>
  <sheetData>
    <row r="1" spans="1:6" ht="15.75" thickBot="1"/>
    <row r="2" spans="1:6" ht="18" customHeight="1">
      <c r="A2" s="329" t="s">
        <v>365</v>
      </c>
      <c r="B2" s="330"/>
      <c r="C2" s="224" t="s">
        <v>12</v>
      </c>
      <c r="D2" s="225" t="s">
        <v>390</v>
      </c>
      <c r="E2" t="s">
        <v>389</v>
      </c>
      <c r="F2" t="s">
        <v>364</v>
      </c>
    </row>
    <row r="3" spans="1:6" ht="24" customHeight="1">
      <c r="A3" s="226"/>
      <c r="B3" s="227" t="s">
        <v>366</v>
      </c>
      <c r="C3" s="228" t="s">
        <v>325</v>
      </c>
      <c r="D3" s="229">
        <v>35000</v>
      </c>
      <c r="E3" s="214">
        <f>D3*1.25</f>
        <v>43750</v>
      </c>
      <c r="F3" s="214">
        <f>E3*8</f>
        <v>350000</v>
      </c>
    </row>
    <row r="4" spans="1:6" ht="20.25" customHeight="1">
      <c r="A4" s="226"/>
      <c r="B4" s="230" t="s">
        <v>367</v>
      </c>
      <c r="C4" s="228" t="s">
        <v>325</v>
      </c>
      <c r="D4" s="229">
        <v>40000</v>
      </c>
      <c r="E4" s="214">
        <f t="shared" ref="E4:E25" si="0">D4*1.25</f>
        <v>50000</v>
      </c>
      <c r="F4" s="214">
        <f t="shared" ref="F4:F25" si="1">E4*8</f>
        <v>400000</v>
      </c>
    </row>
    <row r="5" spans="1:6" ht="23.25" customHeight="1">
      <c r="A5" s="226"/>
      <c r="B5" s="227" t="s">
        <v>368</v>
      </c>
      <c r="C5" s="228" t="s">
        <v>325</v>
      </c>
      <c r="D5" s="229">
        <v>58000</v>
      </c>
      <c r="E5" s="214">
        <f t="shared" si="0"/>
        <v>72500</v>
      </c>
      <c r="F5" s="214">
        <f t="shared" si="1"/>
        <v>580000</v>
      </c>
    </row>
    <row r="6" spans="1:6" ht="38.25" customHeight="1">
      <c r="A6" s="226"/>
      <c r="B6" s="231" t="s">
        <v>369</v>
      </c>
      <c r="C6" s="232" t="s">
        <v>325</v>
      </c>
      <c r="D6" s="233">
        <v>100000</v>
      </c>
      <c r="E6" s="214">
        <f t="shared" si="0"/>
        <v>125000</v>
      </c>
      <c r="F6" s="214">
        <f t="shared" si="1"/>
        <v>1000000</v>
      </c>
    </row>
    <row r="7" spans="1:6" ht="25.5" customHeight="1">
      <c r="A7" s="226"/>
      <c r="B7" s="227" t="s">
        <v>370</v>
      </c>
      <c r="C7" s="228" t="s">
        <v>325</v>
      </c>
      <c r="D7" s="229">
        <v>33000</v>
      </c>
      <c r="E7" s="214">
        <f t="shared" si="0"/>
        <v>41250</v>
      </c>
      <c r="F7" s="214">
        <f t="shared" si="1"/>
        <v>330000</v>
      </c>
    </row>
    <row r="8" spans="1:6" ht="22.5" customHeight="1">
      <c r="A8" s="226"/>
      <c r="B8" s="231" t="s">
        <v>371</v>
      </c>
      <c r="C8" s="232" t="s">
        <v>325</v>
      </c>
      <c r="D8" s="233">
        <v>58000</v>
      </c>
      <c r="E8" s="214">
        <f t="shared" si="0"/>
        <v>72500</v>
      </c>
      <c r="F8" s="214">
        <f t="shared" si="1"/>
        <v>580000</v>
      </c>
    </row>
    <row r="9" spans="1:6" ht="24" customHeight="1">
      <c r="A9" s="226"/>
      <c r="B9" s="227" t="s">
        <v>372</v>
      </c>
      <c r="C9" s="228" t="s">
        <v>325</v>
      </c>
      <c r="D9" s="229">
        <v>28000</v>
      </c>
      <c r="E9" s="214">
        <f t="shared" si="0"/>
        <v>35000</v>
      </c>
      <c r="F9" s="214">
        <f t="shared" si="1"/>
        <v>280000</v>
      </c>
    </row>
    <row r="10" spans="1:6" ht="23.25" customHeight="1">
      <c r="A10" s="226"/>
      <c r="B10" s="227" t="s">
        <v>373</v>
      </c>
      <c r="C10" s="228" t="s">
        <v>325</v>
      </c>
      <c r="D10" s="229">
        <v>35000</v>
      </c>
      <c r="E10" s="214">
        <f t="shared" si="0"/>
        <v>43750</v>
      </c>
      <c r="F10" s="214">
        <f t="shared" si="1"/>
        <v>350000</v>
      </c>
    </row>
    <row r="11" spans="1:6" ht="21" customHeight="1">
      <c r="A11" s="226"/>
      <c r="B11" s="231" t="s">
        <v>374</v>
      </c>
      <c r="C11" s="232" t="s">
        <v>325</v>
      </c>
      <c r="D11" s="233">
        <v>30000</v>
      </c>
      <c r="E11" s="214">
        <f t="shared" si="0"/>
        <v>37500</v>
      </c>
      <c r="F11" s="214">
        <f t="shared" si="1"/>
        <v>300000</v>
      </c>
    </row>
    <row r="12" spans="1:6" ht="24" customHeight="1">
      <c r="A12" s="226"/>
      <c r="B12" s="227" t="s">
        <v>375</v>
      </c>
      <c r="C12" s="228" t="s">
        <v>325</v>
      </c>
      <c r="D12" s="229">
        <v>45000</v>
      </c>
      <c r="E12" s="214">
        <f t="shared" si="0"/>
        <v>56250</v>
      </c>
      <c r="F12" s="214">
        <f t="shared" si="1"/>
        <v>450000</v>
      </c>
    </row>
    <row r="13" spans="1:6" ht="19.5" customHeight="1">
      <c r="A13" s="226"/>
      <c r="B13" s="227" t="s">
        <v>376</v>
      </c>
      <c r="C13" s="228" t="s">
        <v>325</v>
      </c>
      <c r="D13" s="229">
        <v>52000</v>
      </c>
      <c r="E13" s="214">
        <f t="shared" si="0"/>
        <v>65000</v>
      </c>
      <c r="F13" s="214">
        <f t="shared" si="1"/>
        <v>520000</v>
      </c>
    </row>
    <row r="14" spans="1:6" ht="24.75" customHeight="1">
      <c r="A14" s="226"/>
      <c r="B14" s="227" t="s">
        <v>377</v>
      </c>
      <c r="C14" s="228" t="s">
        <v>325</v>
      </c>
      <c r="D14" s="229">
        <v>52000</v>
      </c>
      <c r="E14" s="214">
        <f t="shared" si="0"/>
        <v>65000</v>
      </c>
      <c r="F14" s="214">
        <f t="shared" si="1"/>
        <v>520000</v>
      </c>
    </row>
    <row r="15" spans="1:6" ht="20.25" customHeight="1">
      <c r="A15" s="226"/>
      <c r="B15" s="227" t="s">
        <v>378</v>
      </c>
      <c r="C15" s="228" t="s">
        <v>325</v>
      </c>
      <c r="D15" s="229">
        <v>52000</v>
      </c>
      <c r="E15" s="214">
        <f t="shared" si="0"/>
        <v>65000</v>
      </c>
      <c r="F15" s="214">
        <f t="shared" si="1"/>
        <v>520000</v>
      </c>
    </row>
    <row r="16" spans="1:6" ht="24" customHeight="1">
      <c r="A16" s="226"/>
      <c r="B16" s="227" t="s">
        <v>379</v>
      </c>
      <c r="C16" s="228" t="s">
        <v>325</v>
      </c>
      <c r="D16" s="229">
        <v>52000</v>
      </c>
      <c r="E16" s="214">
        <f t="shared" si="0"/>
        <v>65000</v>
      </c>
      <c r="F16" s="214">
        <f t="shared" si="1"/>
        <v>520000</v>
      </c>
    </row>
    <row r="17" spans="1:6" ht="21" customHeight="1">
      <c r="A17" s="226"/>
      <c r="B17" s="227" t="s">
        <v>380</v>
      </c>
      <c r="C17" s="228" t="s">
        <v>325</v>
      </c>
      <c r="D17" s="229">
        <v>17000</v>
      </c>
      <c r="E17" s="214">
        <f t="shared" si="0"/>
        <v>21250</v>
      </c>
      <c r="F17" s="214">
        <f t="shared" si="1"/>
        <v>170000</v>
      </c>
    </row>
    <row r="18" spans="1:6" ht="18.75" customHeight="1">
      <c r="A18" s="226"/>
      <c r="B18" s="227" t="s">
        <v>381</v>
      </c>
      <c r="C18" s="228" t="s">
        <v>325</v>
      </c>
      <c r="D18" s="229">
        <v>33000</v>
      </c>
      <c r="E18" s="214">
        <f t="shared" si="0"/>
        <v>41250</v>
      </c>
      <c r="F18" s="214">
        <f t="shared" si="1"/>
        <v>330000</v>
      </c>
    </row>
    <row r="19" spans="1:6" ht="19.5" customHeight="1">
      <c r="A19" s="226"/>
      <c r="B19" s="231" t="s">
        <v>382</v>
      </c>
      <c r="C19" s="232" t="s">
        <v>325</v>
      </c>
      <c r="D19" s="229">
        <v>15000</v>
      </c>
      <c r="E19" s="214">
        <f t="shared" si="0"/>
        <v>18750</v>
      </c>
      <c r="F19" s="214">
        <f t="shared" si="1"/>
        <v>150000</v>
      </c>
    </row>
    <row r="20" spans="1:6" ht="18" customHeight="1">
      <c r="A20" s="226"/>
      <c r="B20" s="231" t="s">
        <v>383</v>
      </c>
      <c r="C20" s="232" t="s">
        <v>325</v>
      </c>
      <c r="D20" s="233">
        <v>15000</v>
      </c>
      <c r="E20" s="214">
        <f t="shared" si="0"/>
        <v>18750</v>
      </c>
      <c r="F20" s="214">
        <f t="shared" si="1"/>
        <v>150000</v>
      </c>
    </row>
    <row r="21" spans="1:6" ht="21" customHeight="1">
      <c r="A21" s="226"/>
      <c r="B21" s="231" t="s">
        <v>384</v>
      </c>
      <c r="C21" s="232" t="s">
        <v>325</v>
      </c>
      <c r="D21" s="233">
        <v>25000</v>
      </c>
      <c r="E21" s="214">
        <f t="shared" si="0"/>
        <v>31250</v>
      </c>
      <c r="F21" s="214">
        <f t="shared" si="1"/>
        <v>250000</v>
      </c>
    </row>
    <row r="22" spans="1:6" ht="23.25" customHeight="1">
      <c r="A22" s="226"/>
      <c r="B22" s="231" t="s">
        <v>385</v>
      </c>
      <c r="C22" s="232" t="s">
        <v>325</v>
      </c>
      <c r="D22" s="233">
        <v>20000</v>
      </c>
      <c r="E22" s="214">
        <f t="shared" si="0"/>
        <v>25000</v>
      </c>
      <c r="F22" s="214">
        <f t="shared" si="1"/>
        <v>200000</v>
      </c>
    </row>
    <row r="23" spans="1:6" ht="24" customHeight="1">
      <c r="A23" s="226"/>
      <c r="B23" s="231" t="s">
        <v>386</v>
      </c>
      <c r="C23" s="232" t="s">
        <v>325</v>
      </c>
      <c r="D23" s="234">
        <v>14000</v>
      </c>
      <c r="E23" s="214">
        <f t="shared" si="0"/>
        <v>17500</v>
      </c>
      <c r="F23" s="214">
        <f t="shared" si="1"/>
        <v>140000</v>
      </c>
    </row>
    <row r="24" spans="1:6" ht="23.25" customHeight="1">
      <c r="A24" s="226"/>
      <c r="B24" s="231" t="s">
        <v>387</v>
      </c>
      <c r="C24" s="232" t="s">
        <v>325</v>
      </c>
      <c r="D24" s="229">
        <v>50000</v>
      </c>
      <c r="E24" s="214">
        <f t="shared" si="0"/>
        <v>62500</v>
      </c>
      <c r="F24" s="214">
        <f t="shared" si="1"/>
        <v>500000</v>
      </c>
    </row>
    <row r="25" spans="1:6" ht="20.25" customHeight="1">
      <c r="A25" s="235"/>
      <c r="B25" s="236" t="s">
        <v>388</v>
      </c>
      <c r="C25" s="232" t="s">
        <v>325</v>
      </c>
      <c r="D25" s="229">
        <v>120000</v>
      </c>
      <c r="E25" s="214">
        <f t="shared" si="0"/>
        <v>150000</v>
      </c>
      <c r="F25" s="214">
        <f t="shared" si="1"/>
        <v>1200000</v>
      </c>
    </row>
  </sheetData>
  <mergeCells count="1">
    <mergeCell ref="A2:B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2:E22"/>
  <sheetViews>
    <sheetView topLeftCell="A13" workbookViewId="0">
      <selection activeCell="D31" sqref="D31"/>
    </sheetView>
  </sheetViews>
  <sheetFormatPr defaultRowHeight="15"/>
  <cols>
    <col min="1" max="1" width="29.7109375" customWidth="1"/>
    <col min="2" max="2" width="15.42578125" customWidth="1"/>
    <col min="3" max="3" width="15.5703125" customWidth="1"/>
    <col min="5" max="5" width="14.7109375" customWidth="1"/>
  </cols>
  <sheetData>
    <row r="2" spans="1:5">
      <c r="A2" s="321" t="s">
        <v>400</v>
      </c>
      <c r="B2" s="321"/>
      <c r="C2" s="321"/>
    </row>
    <row r="3" spans="1:5">
      <c r="A3" t="s">
        <v>328</v>
      </c>
    </row>
    <row r="4" spans="1:5">
      <c r="A4" t="s">
        <v>339</v>
      </c>
      <c r="B4" s="320"/>
      <c r="C4" s="320"/>
      <c r="D4" s="320"/>
      <c r="E4" s="320"/>
    </row>
    <row r="5" spans="1:5">
      <c r="A5" t="s">
        <v>340</v>
      </c>
      <c r="B5" s="320">
        <v>1000000</v>
      </c>
      <c r="C5" s="320"/>
      <c r="D5" s="320"/>
      <c r="E5" s="320">
        <v>1000000</v>
      </c>
    </row>
    <row r="6" spans="1:5">
      <c r="A6" t="s">
        <v>341</v>
      </c>
      <c r="B6" s="320">
        <f>B5*0.1</f>
        <v>100000</v>
      </c>
      <c r="C6" s="320"/>
      <c r="D6" s="320">
        <v>0.1</v>
      </c>
      <c r="E6" s="320">
        <f>E5*D6</f>
        <v>100000</v>
      </c>
    </row>
    <row r="7" spans="1:5">
      <c r="A7" t="s">
        <v>342</v>
      </c>
      <c r="B7" s="320">
        <v>25</v>
      </c>
      <c r="C7" s="320">
        <v>5000</v>
      </c>
      <c r="D7" s="320"/>
      <c r="E7" s="320">
        <f>B7*C7</f>
        <v>125000</v>
      </c>
    </row>
    <row r="8" spans="1:5">
      <c r="A8" t="s">
        <v>343</v>
      </c>
      <c r="B8" s="320">
        <v>60</v>
      </c>
      <c r="C8" s="320">
        <f>E5</f>
        <v>1000000</v>
      </c>
      <c r="D8" s="320">
        <v>2.5000000000000001E-3</v>
      </c>
      <c r="E8" s="320">
        <f>B8*C8*D8</f>
        <v>150000</v>
      </c>
    </row>
    <row r="9" spans="1:5">
      <c r="A9" t="s">
        <v>344</v>
      </c>
      <c r="B9" s="320">
        <v>5</v>
      </c>
      <c r="C9" s="320">
        <v>800000</v>
      </c>
      <c r="D9" s="320">
        <v>12</v>
      </c>
      <c r="E9" s="320">
        <f>B9*C9/D9</f>
        <v>333333.33333333331</v>
      </c>
    </row>
    <row r="10" spans="1:5">
      <c r="A10" t="s">
        <v>345</v>
      </c>
      <c r="B10" s="320"/>
      <c r="C10" s="320">
        <v>1000000</v>
      </c>
      <c r="D10" s="320">
        <v>0.1</v>
      </c>
      <c r="E10" s="320">
        <f>C10*D10</f>
        <v>100000</v>
      </c>
    </row>
    <row r="11" spans="1:5">
      <c r="A11" t="s">
        <v>346</v>
      </c>
      <c r="B11" s="320"/>
      <c r="C11" s="320"/>
      <c r="D11" s="320"/>
      <c r="E11" s="320">
        <v>100000</v>
      </c>
    </row>
    <row r="12" spans="1:5">
      <c r="A12" t="s">
        <v>347</v>
      </c>
      <c r="B12" s="320"/>
      <c r="C12" s="320"/>
      <c r="D12" s="320"/>
      <c r="E12" s="320">
        <v>500000</v>
      </c>
    </row>
    <row r="13" spans="1:5">
      <c r="A13" t="s">
        <v>348</v>
      </c>
      <c r="B13" s="320"/>
      <c r="C13" s="320"/>
      <c r="D13" s="320">
        <v>0.1</v>
      </c>
      <c r="E13" s="320">
        <f>SUM(E5:E12)*D13</f>
        <v>240833.33333333331</v>
      </c>
    </row>
    <row r="14" spans="1:5">
      <c r="B14" s="320"/>
      <c r="C14" s="320"/>
      <c r="D14" s="320"/>
      <c r="E14" s="320">
        <f>SUM(E5:E13)</f>
        <v>2649166.6666666665</v>
      </c>
    </row>
    <row r="15" spans="1:5">
      <c r="A15" t="s">
        <v>349</v>
      </c>
      <c r="B15" s="320">
        <v>25</v>
      </c>
      <c r="C15" s="320">
        <v>8</v>
      </c>
      <c r="D15" s="320">
        <f>B15*C15</f>
        <v>200</v>
      </c>
      <c r="E15" s="320"/>
    </row>
    <row r="16" spans="1:5">
      <c r="A16" t="s">
        <v>350</v>
      </c>
      <c r="B16" s="320">
        <v>21</v>
      </c>
      <c r="C16" s="320">
        <v>8</v>
      </c>
      <c r="D16" s="320">
        <f>B16*C16/12</f>
        <v>14</v>
      </c>
      <c r="E16" s="320"/>
    </row>
    <row r="17" spans="1:5">
      <c r="A17" t="s">
        <v>351</v>
      </c>
      <c r="B17" s="320"/>
      <c r="C17" s="320"/>
      <c r="D17" s="320">
        <f>0.25*(D15-D16)</f>
        <v>46.5</v>
      </c>
      <c r="E17" s="320"/>
    </row>
    <row r="18" spans="1:5">
      <c r="A18" t="s">
        <v>352</v>
      </c>
      <c r="B18" s="320"/>
      <c r="C18" s="320"/>
      <c r="D18" s="320">
        <f>D15-D16-D17</f>
        <v>139.5</v>
      </c>
      <c r="E18" s="320"/>
    </row>
    <row r="19" spans="1:5">
      <c r="A19" t="s">
        <v>353</v>
      </c>
      <c r="B19" s="320"/>
      <c r="C19" s="320"/>
      <c r="D19" s="320"/>
      <c r="E19" s="320">
        <f>E14/D18</f>
        <v>18990.442054958185</v>
      </c>
    </row>
    <row r="20" spans="1:5">
      <c r="A20" t="s">
        <v>354</v>
      </c>
      <c r="B20" s="320"/>
      <c r="C20" s="320"/>
      <c r="D20" s="320"/>
      <c r="E20" s="320">
        <v>19000</v>
      </c>
    </row>
    <row r="21" spans="1:5">
      <c r="A21" t="s">
        <v>355</v>
      </c>
      <c r="B21" s="320"/>
      <c r="C21" s="320"/>
      <c r="D21" s="320"/>
      <c r="E21" s="320">
        <f>E20*0.5</f>
        <v>9500</v>
      </c>
    </row>
    <row r="22" spans="1:5">
      <c r="A22" t="s">
        <v>356</v>
      </c>
      <c r="B22" s="320"/>
      <c r="C22" s="320"/>
      <c r="D22" s="320"/>
      <c r="E22" s="322">
        <f>E20+E21</f>
        <v>28500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>
      <selection activeCell="B11" sqref="B11"/>
    </sheetView>
  </sheetViews>
  <sheetFormatPr defaultColWidth="8.85546875" defaultRowHeight="15"/>
  <cols>
    <col min="1" max="1" width="56.7109375" customWidth="1"/>
  </cols>
  <sheetData>
    <row r="1" spans="1:1">
      <c r="A1" t="s">
        <v>262</v>
      </c>
    </row>
    <row r="2" spans="1:1">
      <c r="A2" t="s">
        <v>263</v>
      </c>
    </row>
    <row r="3" spans="1:1">
      <c r="A3" t="s">
        <v>264</v>
      </c>
    </row>
    <row r="4" spans="1:1">
      <c r="A4" t="s">
        <v>391</v>
      </c>
    </row>
    <row r="5" spans="1:1">
      <c r="A5" t="s">
        <v>394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K208"/>
  <sheetViews>
    <sheetView tabSelected="1" topLeftCell="A202" workbookViewId="0">
      <selection activeCell="I224" sqref="I224"/>
    </sheetView>
  </sheetViews>
  <sheetFormatPr defaultColWidth="8.85546875" defaultRowHeight="15"/>
  <cols>
    <col min="2" max="2" width="36.42578125" customWidth="1"/>
    <col min="3" max="3" width="9.7109375" customWidth="1"/>
    <col min="4" max="4" width="7.42578125" customWidth="1"/>
    <col min="5" max="5" width="13.28515625" customWidth="1"/>
    <col min="6" max="6" width="14.7109375" customWidth="1"/>
    <col min="7" max="7" width="3.85546875" customWidth="1"/>
    <col min="8" max="8" width="2.85546875" customWidth="1"/>
    <col min="9" max="9" width="11.140625" customWidth="1"/>
    <col min="10" max="11" width="11.5703125" customWidth="1"/>
  </cols>
  <sheetData>
    <row r="1" spans="1:11" ht="23.25">
      <c r="A1" s="10" t="s">
        <v>8</v>
      </c>
      <c r="B1" s="11"/>
      <c r="C1" s="11"/>
      <c r="D1" s="12"/>
      <c r="E1" s="13" t="s">
        <v>9</v>
      </c>
      <c r="F1" s="272">
        <v>1</v>
      </c>
      <c r="G1" s="249"/>
      <c r="H1" s="249"/>
    </row>
    <row r="2" spans="1:11" ht="15.75">
      <c r="A2" s="14" t="s">
        <v>10</v>
      </c>
      <c r="B2" s="15"/>
      <c r="C2" s="15"/>
      <c r="D2" s="16"/>
      <c r="E2" s="17" t="str">
        <f>'[1]Lot 5 b_Summary'!$D$3</f>
        <v>Lot  05 b</v>
      </c>
      <c r="F2" s="145"/>
      <c r="G2" s="145"/>
      <c r="H2" s="145"/>
      <c r="I2" s="294"/>
      <c r="J2" s="245"/>
    </row>
    <row r="3" spans="1:11" ht="15.75">
      <c r="A3" s="18"/>
      <c r="B3" s="19"/>
      <c r="C3" s="19"/>
      <c r="D3" s="20"/>
      <c r="E3" s="21"/>
      <c r="F3" s="273"/>
      <c r="G3" s="250"/>
      <c r="H3" s="250"/>
      <c r="I3" s="294"/>
      <c r="J3" s="245"/>
    </row>
    <row r="4" spans="1:11">
      <c r="A4" s="22" t="s">
        <v>194</v>
      </c>
      <c r="B4" s="23"/>
      <c r="C4" s="23"/>
      <c r="D4" s="23"/>
      <c r="E4" s="24" t="str">
        <f>'[1]Lot 5 b_Summary'!$B$3</f>
        <v>District:  Buliisa</v>
      </c>
      <c r="F4" s="274"/>
      <c r="G4" s="152"/>
      <c r="H4" s="152"/>
      <c r="I4" s="309" t="s">
        <v>136</v>
      </c>
      <c r="J4" s="310" t="s">
        <v>393</v>
      </c>
    </row>
    <row r="5" spans="1:11">
      <c r="A5" s="25" t="s">
        <v>11</v>
      </c>
      <c r="B5" s="26" t="s">
        <v>6</v>
      </c>
      <c r="C5" s="27" t="s">
        <v>12</v>
      </c>
      <c r="D5" s="28" t="s">
        <v>13</v>
      </c>
      <c r="E5" s="27" t="s">
        <v>14</v>
      </c>
      <c r="F5" s="27" t="s">
        <v>7</v>
      </c>
      <c r="G5" s="251"/>
      <c r="H5" s="251"/>
      <c r="I5" s="301"/>
      <c r="J5" s="293"/>
    </row>
    <row r="6" spans="1:11">
      <c r="A6" s="29"/>
      <c r="B6" s="30"/>
      <c r="C6" s="31"/>
      <c r="D6" s="32"/>
      <c r="E6" s="33"/>
      <c r="F6" s="276"/>
      <c r="G6" s="244"/>
      <c r="H6" s="244"/>
      <c r="I6" s="300"/>
      <c r="J6" s="293"/>
    </row>
    <row r="7" spans="1:11" ht="55.5" customHeight="1">
      <c r="A7" s="34" t="s">
        <v>195</v>
      </c>
      <c r="B7" s="35" t="s">
        <v>15</v>
      </c>
      <c r="C7" s="36" t="s">
        <v>16</v>
      </c>
      <c r="D7" s="37">
        <v>1</v>
      </c>
      <c r="E7" s="38">
        <f>'Construct &amp; maint of  Access Rd'!D44</f>
        <v>19150267.5</v>
      </c>
      <c r="F7" s="277">
        <f>D7*E7</f>
        <v>19150267.5</v>
      </c>
      <c r="G7" s="246"/>
      <c r="H7" s="246"/>
      <c r="I7" s="302"/>
      <c r="J7" s="293"/>
    </row>
    <row r="8" spans="1:11">
      <c r="A8" s="39"/>
      <c r="B8" s="40"/>
      <c r="C8" s="36"/>
      <c r="D8" s="37"/>
      <c r="E8" s="41"/>
      <c r="F8" s="277"/>
      <c r="G8" s="246"/>
      <c r="H8" s="246"/>
      <c r="I8" s="302"/>
      <c r="J8" s="293"/>
    </row>
    <row r="9" spans="1:11" ht="54.75" customHeight="1">
      <c r="A9" s="34" t="s">
        <v>196</v>
      </c>
      <c r="B9" s="35" t="s">
        <v>17</v>
      </c>
      <c r="C9" s="36" t="s">
        <v>16</v>
      </c>
      <c r="D9" s="37">
        <v>1</v>
      </c>
      <c r="E9" s="38">
        <f>'Construct &amp; maint of  Access Rd'!D45</f>
        <v>0</v>
      </c>
      <c r="F9" s="277">
        <f>D9*E9</f>
        <v>0</v>
      </c>
      <c r="G9" s="246"/>
      <c r="H9" s="246"/>
      <c r="I9" s="302"/>
      <c r="J9" s="293"/>
    </row>
    <row r="10" spans="1:11">
      <c r="A10" s="34"/>
      <c r="B10" s="40"/>
      <c r="C10" s="36"/>
      <c r="D10" s="37"/>
      <c r="E10" s="41"/>
      <c r="F10" s="277"/>
      <c r="G10" s="246"/>
      <c r="H10" s="246"/>
      <c r="I10" s="302"/>
      <c r="J10" s="293"/>
    </row>
    <row r="11" spans="1:11">
      <c r="A11" s="43"/>
      <c r="B11" s="44"/>
      <c r="C11" s="45"/>
      <c r="D11" s="46"/>
      <c r="E11" s="47"/>
      <c r="F11" s="280"/>
      <c r="G11" s="252"/>
      <c r="H11" s="252"/>
      <c r="I11" s="302"/>
      <c r="J11" s="293"/>
    </row>
    <row r="12" spans="1:11" ht="15.75" thickBot="1">
      <c r="A12" s="48" t="s">
        <v>18</v>
      </c>
      <c r="B12" s="49"/>
      <c r="C12" s="49"/>
      <c r="D12" s="49"/>
      <c r="E12" s="50"/>
      <c r="F12" s="271">
        <f>SUM(F7:F11)</f>
        <v>19150267.5</v>
      </c>
      <c r="G12" s="253"/>
      <c r="H12" s="253"/>
      <c r="I12" s="303">
        <f>'Construct &amp; maint of  Access Rd'!D42</f>
        <v>14730975</v>
      </c>
      <c r="J12" s="295">
        <f>'Construct &amp; maint of  Access Rd'!D43</f>
        <v>4419292.5</v>
      </c>
      <c r="K12" s="239">
        <f>SUM(I12:J12)</f>
        <v>19150267.5</v>
      </c>
    </row>
    <row r="13" spans="1:11" ht="23.25">
      <c r="A13" s="10" t="str">
        <f>$A$2</f>
        <v>Bill 1: Site Preparatory Works</v>
      </c>
      <c r="B13" s="52"/>
      <c r="C13" s="52"/>
      <c r="D13" s="53"/>
      <c r="E13" s="13" t="str">
        <f>$E$2</f>
        <v>Lot  05 b</v>
      </c>
      <c r="F13" s="281">
        <f>F1+1</f>
        <v>2</v>
      </c>
      <c r="G13" s="249"/>
      <c r="H13" s="249"/>
      <c r="I13" s="300"/>
      <c r="J13" s="293"/>
    </row>
    <row r="14" spans="1:11" ht="15.75">
      <c r="A14" s="54" t="s">
        <v>19</v>
      </c>
      <c r="B14" s="55"/>
      <c r="C14" s="55"/>
      <c r="D14" s="56"/>
      <c r="E14" s="57">
        <f>$E$3</f>
        <v>0</v>
      </c>
      <c r="F14" s="282"/>
      <c r="G14" s="250"/>
      <c r="H14" s="250"/>
      <c r="I14" s="300"/>
      <c r="J14" s="293"/>
    </row>
    <row r="15" spans="1:11" ht="15.75">
      <c r="A15" s="18"/>
      <c r="B15" s="19"/>
      <c r="C15" s="19"/>
      <c r="D15" s="58"/>
      <c r="E15" s="21"/>
      <c r="F15" s="283"/>
      <c r="G15" s="250"/>
      <c r="H15" s="250"/>
      <c r="I15" s="300"/>
      <c r="J15" s="293"/>
    </row>
    <row r="16" spans="1:11">
      <c r="A16" s="22" t="str">
        <f>$A$5</f>
        <v>Item</v>
      </c>
      <c r="B16" s="23"/>
      <c r="C16" s="23"/>
      <c r="D16" s="59"/>
      <c r="E16" s="24" t="str">
        <f>$E$5</f>
        <v>Rate (UGX)</v>
      </c>
      <c r="F16" s="274"/>
      <c r="G16" s="152"/>
      <c r="H16" s="152"/>
      <c r="I16" s="301"/>
      <c r="J16" s="293"/>
    </row>
    <row r="17" spans="1:11">
      <c r="A17" s="25">
        <f>$A$6</f>
        <v>0</v>
      </c>
      <c r="B17" s="26">
        <f>$B$6</f>
        <v>0</v>
      </c>
      <c r="C17" s="27">
        <f>$C$6</f>
        <v>0</v>
      </c>
      <c r="D17" s="28">
        <f>$D$6</f>
        <v>0</v>
      </c>
      <c r="E17" s="60">
        <f>$E$6</f>
        <v>0</v>
      </c>
      <c r="F17" s="27">
        <f>$F$6</f>
        <v>0</v>
      </c>
      <c r="G17" s="251"/>
      <c r="H17" s="251"/>
      <c r="I17" s="301"/>
      <c r="J17" s="293"/>
    </row>
    <row r="18" spans="1:11">
      <c r="A18" s="29"/>
      <c r="B18" s="61"/>
      <c r="C18" s="31"/>
      <c r="D18" s="62"/>
      <c r="E18" s="33"/>
      <c r="F18" s="284"/>
      <c r="G18" s="244"/>
      <c r="H18" s="244"/>
      <c r="I18" s="300"/>
      <c r="J18" s="293"/>
    </row>
    <row r="19" spans="1:11" ht="25.5">
      <c r="A19" s="34" t="s">
        <v>197</v>
      </c>
      <c r="B19" s="35" t="s">
        <v>20</v>
      </c>
      <c r="C19" s="36" t="s">
        <v>21</v>
      </c>
      <c r="D19" s="63">
        <v>1</v>
      </c>
      <c r="E19" s="38">
        <f>'Setting out and site clearance '!E11</f>
        <v>1614112.5</v>
      </c>
      <c r="F19" s="277">
        <f>D19*E19</f>
        <v>1614112.5</v>
      </c>
      <c r="G19" s="246"/>
      <c r="H19" s="246"/>
      <c r="I19" s="304">
        <f>'Setting out and site clearance '!E9</f>
        <v>1241625</v>
      </c>
      <c r="J19" s="295">
        <f>'Setting out and site clearance '!E10</f>
        <v>372487.5</v>
      </c>
      <c r="K19" s="211">
        <f>SUM(I19:J19)</f>
        <v>1614112.5</v>
      </c>
    </row>
    <row r="20" spans="1:11">
      <c r="A20" s="29"/>
      <c r="B20" s="61"/>
      <c r="C20" s="31"/>
      <c r="D20" s="64"/>
      <c r="E20" s="33"/>
      <c r="F20" s="285"/>
      <c r="G20" s="254"/>
      <c r="H20" s="254"/>
      <c r="I20" s="300"/>
      <c r="J20" s="293"/>
    </row>
    <row r="21" spans="1:11" ht="63.75">
      <c r="A21" s="34" t="s">
        <v>198</v>
      </c>
      <c r="B21" s="35" t="s">
        <v>22</v>
      </c>
      <c r="C21" s="36" t="s">
        <v>21</v>
      </c>
      <c r="D21" s="63">
        <v>1</v>
      </c>
      <c r="E21" s="38">
        <f>'Setting out and site clearance '!E26</f>
        <v>3165337.5</v>
      </c>
      <c r="F21" s="277">
        <f>D21*E21</f>
        <v>3165337.5</v>
      </c>
      <c r="G21" s="246"/>
      <c r="H21" s="246"/>
      <c r="I21" s="304">
        <f>'Setting out and site clearance '!E24</f>
        <v>2434875</v>
      </c>
      <c r="J21" s="295">
        <f>'Setting out and site clearance '!E25</f>
        <v>730462.5</v>
      </c>
      <c r="K21" s="211">
        <f>SUM(I21:J21)</f>
        <v>3165337.5</v>
      </c>
    </row>
    <row r="22" spans="1:11">
      <c r="A22" s="29"/>
      <c r="B22" s="61"/>
      <c r="C22" s="31"/>
      <c r="D22" s="64"/>
      <c r="E22" s="33"/>
      <c r="F22" s="285"/>
      <c r="G22" s="254"/>
      <c r="H22" s="254"/>
      <c r="I22" s="300"/>
      <c r="J22" s="293"/>
    </row>
    <row r="23" spans="1:11" ht="25.5">
      <c r="A23" s="65" t="s">
        <v>199</v>
      </c>
      <c r="B23" s="35" t="s">
        <v>23</v>
      </c>
      <c r="C23" s="66" t="s">
        <v>24</v>
      </c>
      <c r="D23" s="67"/>
      <c r="E23" s="38"/>
      <c r="F23" s="286">
        <f>D23*E23</f>
        <v>0</v>
      </c>
      <c r="G23" s="255"/>
      <c r="H23" s="255"/>
      <c r="I23" s="300"/>
      <c r="J23" s="293"/>
    </row>
    <row r="24" spans="1:11">
      <c r="A24" s="29"/>
      <c r="B24" s="61"/>
      <c r="C24" s="31"/>
      <c r="D24" s="64"/>
      <c r="E24" s="33"/>
      <c r="F24" s="285"/>
      <c r="G24" s="254"/>
      <c r="H24" s="254"/>
      <c r="I24" s="300"/>
      <c r="J24" s="293"/>
    </row>
    <row r="25" spans="1:11" ht="38.25">
      <c r="A25" s="65" t="s">
        <v>200</v>
      </c>
      <c r="B25" s="35" t="s">
        <v>25</v>
      </c>
      <c r="C25" s="66" t="s">
        <v>26</v>
      </c>
      <c r="D25" s="67"/>
      <c r="E25" s="38"/>
      <c r="F25" s="286">
        <f>D25*E25</f>
        <v>0</v>
      </c>
      <c r="G25" s="255"/>
      <c r="H25" s="255"/>
      <c r="I25" s="300"/>
      <c r="J25" s="293"/>
    </row>
    <row r="26" spans="1:11">
      <c r="A26" s="29"/>
      <c r="B26" s="61"/>
      <c r="C26" s="31"/>
      <c r="D26" s="64"/>
      <c r="E26" s="33"/>
      <c r="F26" s="285"/>
      <c r="G26" s="254"/>
      <c r="H26" s="254"/>
      <c r="I26" s="300"/>
      <c r="J26" s="293"/>
    </row>
    <row r="27" spans="1:11" ht="25.5">
      <c r="A27" s="65" t="s">
        <v>201</v>
      </c>
      <c r="B27" s="35" t="s">
        <v>27</v>
      </c>
      <c r="C27" s="66" t="s">
        <v>26</v>
      </c>
      <c r="D27" s="67"/>
      <c r="E27" s="38"/>
      <c r="F27" s="286">
        <f>D27*E27</f>
        <v>0</v>
      </c>
      <c r="G27" s="255"/>
      <c r="H27" s="255"/>
      <c r="I27" s="300"/>
      <c r="J27" s="293"/>
    </row>
    <row r="28" spans="1:11">
      <c r="A28" s="70"/>
      <c r="B28" s="71"/>
      <c r="C28" s="72"/>
      <c r="D28" s="73"/>
      <c r="E28" s="74"/>
      <c r="F28" s="287"/>
      <c r="G28" s="244"/>
      <c r="H28" s="244"/>
      <c r="I28" s="300"/>
      <c r="J28" s="293"/>
    </row>
    <row r="29" spans="1:11" ht="15.75" thickBot="1">
      <c r="A29" s="48" t="s">
        <v>28</v>
      </c>
      <c r="B29" s="75"/>
      <c r="C29" s="75"/>
      <c r="D29" s="76"/>
      <c r="E29" s="77"/>
      <c r="F29" s="271">
        <f>SUM(F19:F28)</f>
        <v>4779450</v>
      </c>
      <c r="G29" s="253"/>
      <c r="H29" s="253"/>
      <c r="I29" s="51">
        <f t="shared" ref="I29:J29" si="0">SUM(I19:I28)</f>
        <v>3676500</v>
      </c>
      <c r="J29" s="271">
        <f t="shared" si="0"/>
        <v>1102950</v>
      </c>
      <c r="K29" s="213">
        <f>SUM(I29:J29)</f>
        <v>4779450</v>
      </c>
    </row>
    <row r="30" spans="1:11" ht="23.25">
      <c r="A30" s="78" t="str">
        <f>$A$2</f>
        <v>Bill 1: Site Preparatory Works</v>
      </c>
      <c r="B30" s="52"/>
      <c r="C30" s="52"/>
      <c r="D30" s="79"/>
      <c r="E30" s="13" t="str">
        <f>$E$2</f>
        <v>Lot  05 b</v>
      </c>
      <c r="F30" s="281">
        <f>F13+1</f>
        <v>3</v>
      </c>
      <c r="G30" s="249"/>
      <c r="H30" s="249"/>
      <c r="I30" s="300"/>
      <c r="J30" s="293"/>
    </row>
    <row r="31" spans="1:11" ht="15.75">
      <c r="A31" s="54" t="s">
        <v>29</v>
      </c>
      <c r="B31" s="55"/>
      <c r="C31" s="55"/>
      <c r="D31" s="80"/>
      <c r="E31" s="57">
        <f>$E$3</f>
        <v>0</v>
      </c>
      <c r="F31" s="282"/>
      <c r="G31" s="250"/>
      <c r="H31" s="250"/>
      <c r="I31" s="300"/>
      <c r="J31" s="293"/>
    </row>
    <row r="32" spans="1:11" ht="18">
      <c r="A32" s="81"/>
      <c r="B32" s="82"/>
      <c r="C32" s="82"/>
      <c r="D32" s="83"/>
      <c r="E32" s="21"/>
      <c r="F32" s="283"/>
      <c r="G32" s="250"/>
      <c r="H32" s="250"/>
      <c r="I32" s="300"/>
      <c r="J32" s="293"/>
    </row>
    <row r="33" spans="1:11">
      <c r="A33" s="22" t="str">
        <f>$A$5</f>
        <v>Item</v>
      </c>
      <c r="B33" s="23"/>
      <c r="C33" s="23"/>
      <c r="D33" s="84"/>
      <c r="E33" s="24" t="str">
        <f>$E$5</f>
        <v>Rate (UGX)</v>
      </c>
      <c r="F33" s="274"/>
      <c r="G33" s="152"/>
      <c r="H33" s="152"/>
      <c r="I33" s="301"/>
      <c r="J33" s="293"/>
    </row>
    <row r="34" spans="1:11">
      <c r="A34" s="25">
        <f>$A$6</f>
        <v>0</v>
      </c>
      <c r="B34" s="26">
        <f>$B$6</f>
        <v>0</v>
      </c>
      <c r="C34" s="27">
        <f>$C$6</f>
        <v>0</v>
      </c>
      <c r="D34" s="85">
        <f>$D$6</f>
        <v>0</v>
      </c>
      <c r="E34" s="60">
        <f>$E$6</f>
        <v>0</v>
      </c>
      <c r="F34" s="27">
        <f>$F$6</f>
        <v>0</v>
      </c>
      <c r="G34" s="251"/>
      <c r="H34" s="251"/>
      <c r="I34" s="301"/>
      <c r="J34" s="293"/>
    </row>
    <row r="35" spans="1:11">
      <c r="A35" s="86"/>
      <c r="B35" s="87"/>
      <c r="C35" s="87"/>
      <c r="D35" s="88"/>
      <c r="E35" s="89"/>
      <c r="F35" s="87"/>
      <c r="G35" s="256"/>
      <c r="H35" s="256"/>
      <c r="I35" s="305"/>
      <c r="J35" s="296"/>
    </row>
    <row r="36" spans="1:11">
      <c r="A36" s="90">
        <v>3.1</v>
      </c>
      <c r="B36" s="91" t="s">
        <v>30</v>
      </c>
      <c r="C36" s="31"/>
      <c r="D36" s="69"/>
      <c r="E36" s="33"/>
      <c r="F36" s="284"/>
      <c r="G36" s="244"/>
      <c r="H36" s="244"/>
      <c r="I36" s="305"/>
      <c r="J36" s="296"/>
    </row>
    <row r="37" spans="1:11">
      <c r="A37" s="29"/>
      <c r="B37" s="61"/>
      <c r="C37" s="31"/>
      <c r="D37" s="64"/>
      <c r="E37" s="33"/>
      <c r="F37" s="284"/>
      <c r="G37" s="244"/>
      <c r="H37" s="244"/>
      <c r="I37" s="305"/>
      <c r="J37" s="296"/>
    </row>
    <row r="38" spans="1:11" ht="40.5" customHeight="1">
      <c r="A38" s="65" t="s">
        <v>202</v>
      </c>
      <c r="B38" s="35" t="s">
        <v>31</v>
      </c>
      <c r="C38" s="36" t="s">
        <v>21</v>
      </c>
      <c r="D38" s="63">
        <v>1</v>
      </c>
      <c r="E38" s="38">
        <f>'Earth Works'!D15</f>
        <v>3514712.5</v>
      </c>
      <c r="F38" s="277">
        <f>D38*E38</f>
        <v>3514712.5</v>
      </c>
      <c r="G38" s="246"/>
      <c r="H38" s="246"/>
      <c r="I38" s="305">
        <f>'Earth Works'!D13</f>
        <v>2703625</v>
      </c>
      <c r="J38" s="296">
        <f>'Earth Works'!D14</f>
        <v>811087.5</v>
      </c>
      <c r="K38" s="211">
        <f>SUM(I38:J38)</f>
        <v>3514712.5</v>
      </c>
    </row>
    <row r="39" spans="1:11">
      <c r="A39" s="29"/>
      <c r="B39" s="61"/>
      <c r="C39" s="31"/>
      <c r="D39" s="64"/>
      <c r="E39" s="33"/>
      <c r="F39" s="285"/>
      <c r="G39" s="254"/>
      <c r="H39" s="254"/>
      <c r="I39" s="305"/>
      <c r="J39" s="296"/>
    </row>
    <row r="40" spans="1:11" ht="24">
      <c r="A40" s="65" t="s">
        <v>203</v>
      </c>
      <c r="B40" s="35" t="s">
        <v>158</v>
      </c>
      <c r="C40" s="36" t="s">
        <v>21</v>
      </c>
      <c r="D40" s="63">
        <v>1</v>
      </c>
      <c r="E40" s="38">
        <f>'Earth Works'!D28</f>
        <v>5523700</v>
      </c>
      <c r="F40" s="277">
        <f>D40*E40</f>
        <v>5523700</v>
      </c>
      <c r="G40" s="246"/>
      <c r="H40" s="246"/>
      <c r="I40" s="305">
        <f>'Earth Works'!D26</f>
        <v>4249000</v>
      </c>
      <c r="J40" s="296">
        <f>'Earth Works'!D27</f>
        <v>1274700</v>
      </c>
      <c r="K40" s="211">
        <f>SUM(I40:J40)</f>
        <v>5523700</v>
      </c>
    </row>
    <row r="41" spans="1:11">
      <c r="A41" s="68"/>
      <c r="B41" s="61"/>
      <c r="C41" s="31"/>
      <c r="D41" s="64"/>
      <c r="E41" s="33"/>
      <c r="F41" s="285"/>
      <c r="G41" s="254"/>
      <c r="H41" s="254"/>
      <c r="I41" s="305"/>
      <c r="J41" s="296"/>
    </row>
    <row r="42" spans="1:11" ht="25.5">
      <c r="A42" s="29"/>
      <c r="B42" s="35" t="s">
        <v>32</v>
      </c>
      <c r="C42" s="36" t="s">
        <v>21</v>
      </c>
      <c r="D42" s="63">
        <v>2</v>
      </c>
      <c r="E42" s="38">
        <f>'Earth Works'!D40</f>
        <v>2793700</v>
      </c>
      <c r="F42" s="277">
        <f>D42*E42</f>
        <v>5587400</v>
      </c>
      <c r="G42" s="246"/>
      <c r="H42" s="246"/>
      <c r="I42" s="305">
        <f>'Earth Works'!D38*2</f>
        <v>4298000</v>
      </c>
      <c r="J42" s="296">
        <f>'Earth Works'!D39*2</f>
        <v>1289400</v>
      </c>
      <c r="K42" s="211">
        <f>SUM(I42:J42)</f>
        <v>5587400</v>
      </c>
    </row>
    <row r="43" spans="1:11">
      <c r="A43" s="29"/>
      <c r="B43" s="61"/>
      <c r="C43" s="31"/>
      <c r="D43" s="64"/>
      <c r="E43" s="33"/>
      <c r="F43" s="285"/>
      <c r="G43" s="254"/>
      <c r="H43" s="254"/>
      <c r="I43" s="305"/>
      <c r="J43" s="296"/>
    </row>
    <row r="44" spans="1:11">
      <c r="A44" s="90">
        <v>3.2</v>
      </c>
      <c r="B44" s="91" t="s">
        <v>33</v>
      </c>
      <c r="C44" s="31"/>
      <c r="D44" s="64"/>
      <c r="E44" s="33"/>
      <c r="F44" s="285"/>
      <c r="G44" s="254"/>
      <c r="H44" s="254"/>
      <c r="I44" s="305"/>
      <c r="J44" s="296"/>
    </row>
    <row r="45" spans="1:11">
      <c r="A45" s="29"/>
      <c r="B45" s="92"/>
      <c r="C45" s="31"/>
      <c r="D45" s="64"/>
      <c r="E45" s="33"/>
      <c r="F45" s="285"/>
      <c r="G45" s="254"/>
      <c r="H45" s="254"/>
      <c r="I45" s="305"/>
      <c r="J45" s="296"/>
    </row>
    <row r="46" spans="1:11" ht="24">
      <c r="A46" s="65" t="s">
        <v>204</v>
      </c>
      <c r="B46" s="35" t="s">
        <v>34</v>
      </c>
      <c r="C46" s="36" t="s">
        <v>205</v>
      </c>
      <c r="D46" s="63">
        <v>1</v>
      </c>
      <c r="E46" s="38">
        <f>'Earth Works'!D56</f>
        <v>4115637.5</v>
      </c>
      <c r="F46" s="277">
        <f>D46*E46</f>
        <v>4115637.5</v>
      </c>
      <c r="G46" s="246"/>
      <c r="H46" s="246"/>
      <c r="I46" s="305">
        <f>'Earth Works'!D54</f>
        <v>3165875</v>
      </c>
      <c r="J46" s="296">
        <f>'Earth Works'!D55</f>
        <v>949762.5</v>
      </c>
      <c r="K46" s="311">
        <f>SUM(I46:J46)</f>
        <v>4115637.5</v>
      </c>
    </row>
    <row r="47" spans="1:11">
      <c r="A47" s="29"/>
      <c r="B47" s="92"/>
      <c r="C47" s="31"/>
      <c r="D47" s="64"/>
      <c r="E47" s="33"/>
      <c r="F47" s="285"/>
      <c r="G47" s="254"/>
      <c r="H47" s="254"/>
      <c r="I47" s="305"/>
      <c r="J47" s="296"/>
    </row>
    <row r="48" spans="1:11" ht="25.5">
      <c r="A48" s="65" t="s">
        <v>206</v>
      </c>
      <c r="B48" s="35" t="s">
        <v>35</v>
      </c>
      <c r="C48" s="36" t="s">
        <v>21</v>
      </c>
      <c r="D48" s="63">
        <v>1</v>
      </c>
      <c r="E48" s="277">
        <f>'Earth Works'!D69</f>
        <v>2908197.5</v>
      </c>
      <c r="F48" s="277">
        <f>D48*E48</f>
        <v>2908197.5</v>
      </c>
      <c r="G48" s="246"/>
      <c r="H48" s="246"/>
      <c r="I48" s="305">
        <f>'Earth Works'!D67</f>
        <v>2237075</v>
      </c>
      <c r="J48" s="296">
        <f>'Earth Works'!D68</f>
        <v>671122.5</v>
      </c>
      <c r="K48" s="311">
        <f>SUM(I48:J48)</f>
        <v>2908197.5</v>
      </c>
    </row>
    <row r="49" spans="1:11">
      <c r="A49" s="68"/>
      <c r="B49" s="92"/>
      <c r="C49" s="31"/>
      <c r="D49" s="64"/>
      <c r="E49" s="33"/>
      <c r="F49" s="285"/>
      <c r="G49" s="254"/>
      <c r="H49" s="254"/>
      <c r="I49" s="305"/>
      <c r="J49" s="296"/>
    </row>
    <row r="50" spans="1:11" ht="24">
      <c r="A50" s="65" t="s">
        <v>207</v>
      </c>
      <c r="B50" s="35" t="s">
        <v>36</v>
      </c>
      <c r="C50" s="36" t="s">
        <v>21</v>
      </c>
      <c r="D50" s="63">
        <v>1</v>
      </c>
      <c r="E50" s="38">
        <f>'Earth Works'!D85</f>
        <v>4115637.5</v>
      </c>
      <c r="F50" s="277">
        <f>D50*E50</f>
        <v>4115637.5</v>
      </c>
      <c r="G50" s="246"/>
      <c r="H50" s="246"/>
      <c r="I50" s="305">
        <f>'Earth Works'!D83</f>
        <v>3165875</v>
      </c>
      <c r="J50" s="296">
        <f>'Earth Works'!D84</f>
        <v>949762.5</v>
      </c>
      <c r="K50" s="311">
        <f>SUM(I50:J50)</f>
        <v>4115637.5</v>
      </c>
    </row>
    <row r="51" spans="1:11">
      <c r="A51" s="68"/>
      <c r="B51" s="61"/>
      <c r="C51" s="31"/>
      <c r="D51" s="64"/>
      <c r="E51" s="33"/>
      <c r="F51" s="285"/>
      <c r="G51" s="254"/>
      <c r="H51" s="254"/>
      <c r="I51" s="305"/>
      <c r="J51" s="296"/>
    </row>
    <row r="52" spans="1:11">
      <c r="A52" s="90">
        <v>3.3</v>
      </c>
      <c r="B52" s="93" t="s">
        <v>37</v>
      </c>
      <c r="C52" s="31"/>
      <c r="D52" s="64"/>
      <c r="E52" s="33"/>
      <c r="F52" s="285"/>
      <c r="G52" s="254"/>
      <c r="H52" s="254"/>
      <c r="I52" s="305"/>
      <c r="J52" s="296"/>
    </row>
    <row r="53" spans="1:11">
      <c r="A53" s="29"/>
      <c r="B53" s="61"/>
      <c r="C53" s="31"/>
      <c r="D53" s="64"/>
      <c r="E53" s="33"/>
      <c r="F53" s="285"/>
      <c r="G53" s="254"/>
      <c r="H53" s="254"/>
      <c r="I53" s="305"/>
      <c r="J53" s="296"/>
    </row>
    <row r="54" spans="1:11" ht="25.5">
      <c r="A54" s="65" t="s">
        <v>208</v>
      </c>
      <c r="B54" s="35" t="s">
        <v>38</v>
      </c>
      <c r="C54" s="36" t="s">
        <v>209</v>
      </c>
      <c r="D54" s="63"/>
      <c r="E54" s="38"/>
      <c r="F54" s="277">
        <f>D54*E54</f>
        <v>0</v>
      </c>
      <c r="G54" s="246"/>
      <c r="H54" s="246"/>
      <c r="I54" s="305"/>
      <c r="J54" s="296"/>
    </row>
    <row r="55" spans="1:11">
      <c r="A55" s="29"/>
      <c r="B55" s="61"/>
      <c r="C55" s="31"/>
      <c r="D55" s="64"/>
      <c r="E55" s="33"/>
      <c r="F55" s="285"/>
      <c r="G55" s="254"/>
      <c r="H55" s="254"/>
      <c r="I55" s="305"/>
      <c r="J55" s="296"/>
    </row>
    <row r="56" spans="1:11" ht="24">
      <c r="A56" s="65" t="s">
        <v>210</v>
      </c>
      <c r="B56" s="35" t="s">
        <v>174</v>
      </c>
      <c r="C56" s="36" t="s">
        <v>205</v>
      </c>
      <c r="D56" s="63"/>
      <c r="E56" s="38"/>
      <c r="F56" s="277">
        <f>D56*E56</f>
        <v>0</v>
      </c>
      <c r="G56" s="246"/>
      <c r="H56" s="246"/>
      <c r="I56" s="305"/>
      <c r="J56" s="296"/>
    </row>
    <row r="57" spans="1:11">
      <c r="A57" s="68"/>
      <c r="B57" s="61"/>
      <c r="C57" s="31"/>
      <c r="D57" s="64"/>
      <c r="E57" s="33"/>
      <c r="F57" s="285"/>
      <c r="G57" s="254"/>
      <c r="H57" s="254"/>
      <c r="I57" s="305"/>
      <c r="J57" s="296"/>
    </row>
    <row r="58" spans="1:11">
      <c r="A58" s="65" t="s">
        <v>211</v>
      </c>
      <c r="B58" s="35" t="s">
        <v>39</v>
      </c>
      <c r="C58" s="36" t="s">
        <v>24</v>
      </c>
      <c r="D58" s="63"/>
      <c r="E58" s="38"/>
      <c r="F58" s="277">
        <f>D58*E58</f>
        <v>0</v>
      </c>
      <c r="G58" s="246"/>
      <c r="H58" s="246"/>
      <c r="I58" s="305"/>
      <c r="J58" s="296"/>
    </row>
    <row r="59" spans="1:11">
      <c r="A59" s="68"/>
      <c r="B59" s="61"/>
      <c r="C59" s="31"/>
      <c r="D59" s="64"/>
      <c r="E59" s="33"/>
      <c r="F59" s="284"/>
      <c r="G59" s="244"/>
      <c r="H59" s="244"/>
      <c r="I59" s="305"/>
      <c r="J59" s="296"/>
    </row>
    <row r="60" spans="1:11" ht="15.75" thickBot="1">
      <c r="A60" s="48" t="s">
        <v>40</v>
      </c>
      <c r="B60" s="49"/>
      <c r="C60" s="49"/>
      <c r="D60" s="94"/>
      <c r="E60" s="50"/>
      <c r="F60" s="278">
        <f>SUM(F38:F59)</f>
        <v>25765285</v>
      </c>
      <c r="G60" s="248"/>
      <c r="H60" s="248"/>
      <c r="I60" s="241">
        <f t="shared" ref="I60:J60" si="1">SUM(I38:I59)</f>
        <v>19819450</v>
      </c>
      <c r="J60" s="297">
        <f t="shared" si="1"/>
        <v>5945835</v>
      </c>
      <c r="K60" s="211">
        <f>SUM(I60:J60)</f>
        <v>25765285</v>
      </c>
    </row>
    <row r="61" spans="1:11" ht="23.25">
      <c r="A61" s="10" t="s">
        <v>8</v>
      </c>
      <c r="B61" s="52"/>
      <c r="C61" s="52"/>
      <c r="D61" s="79"/>
      <c r="E61" s="13" t="str">
        <f>E30</f>
        <v>Lot  05 b</v>
      </c>
      <c r="F61" s="281">
        <f>F30+1</f>
        <v>4</v>
      </c>
      <c r="G61" s="249"/>
      <c r="H61" s="249"/>
      <c r="I61" s="300"/>
      <c r="J61" s="293"/>
    </row>
    <row r="62" spans="1:11" ht="23.25">
      <c r="A62" s="14"/>
      <c r="B62" s="95"/>
      <c r="C62" s="95"/>
      <c r="D62" s="96"/>
      <c r="E62" s="97"/>
      <c r="F62" s="288"/>
      <c r="G62" s="249"/>
      <c r="H62" s="249"/>
      <c r="I62" s="300"/>
      <c r="J62" s="293"/>
    </row>
    <row r="63" spans="1:11" ht="15.75">
      <c r="A63" s="54" t="s">
        <v>41</v>
      </c>
      <c r="B63" s="55"/>
      <c r="C63" s="55"/>
      <c r="D63" s="80"/>
      <c r="E63" s="57">
        <f>$E$3</f>
        <v>0</v>
      </c>
      <c r="F63" s="282"/>
      <c r="G63" s="250"/>
      <c r="H63" s="250"/>
      <c r="I63" s="300"/>
      <c r="J63" s="293"/>
    </row>
    <row r="64" spans="1:11" ht="18">
      <c r="A64" s="81"/>
      <c r="B64" s="82"/>
      <c r="C64" s="82"/>
      <c r="D64" s="83"/>
      <c r="E64" s="21"/>
      <c r="F64" s="282"/>
      <c r="G64" s="250"/>
      <c r="H64" s="250"/>
      <c r="I64" s="300"/>
      <c r="J64" s="293"/>
    </row>
    <row r="65" spans="1:10">
      <c r="A65" s="22" t="str">
        <f>A4</f>
        <v xml:space="preserve">Magege Kanushu Road </v>
      </c>
      <c r="B65" s="23"/>
      <c r="C65" s="23"/>
      <c r="D65" s="84"/>
      <c r="E65" s="279" t="str">
        <f>$E$5</f>
        <v>Rate (UGX)</v>
      </c>
      <c r="F65" s="289"/>
      <c r="G65" s="152"/>
      <c r="H65" s="152"/>
      <c r="I65" s="301"/>
      <c r="J65" s="293"/>
    </row>
    <row r="66" spans="1:10">
      <c r="A66" s="25">
        <f>$A$6</f>
        <v>0</v>
      </c>
      <c r="B66" s="26">
        <f>$B$6</f>
        <v>0</v>
      </c>
      <c r="C66" s="27">
        <f>$C$6</f>
        <v>0</v>
      </c>
      <c r="D66" s="85">
        <f>$D$6</f>
        <v>0</v>
      </c>
      <c r="E66" s="60">
        <f>$E$6</f>
        <v>0</v>
      </c>
      <c r="F66" s="290">
        <f>$F$6</f>
        <v>0</v>
      </c>
      <c r="G66" s="251"/>
      <c r="H66" s="251"/>
      <c r="I66" s="300"/>
      <c r="J66" s="293"/>
    </row>
    <row r="67" spans="1:10">
      <c r="A67" s="86"/>
      <c r="B67" s="87"/>
      <c r="C67" s="87"/>
      <c r="D67" s="88"/>
      <c r="E67" s="89"/>
      <c r="F67" s="87"/>
      <c r="G67" s="256"/>
      <c r="H67" s="256"/>
      <c r="I67" s="300"/>
      <c r="J67" s="293"/>
    </row>
    <row r="68" spans="1:10">
      <c r="A68" s="29" t="s">
        <v>212</v>
      </c>
      <c r="B68" s="92" t="s">
        <v>42</v>
      </c>
      <c r="C68" s="31"/>
      <c r="D68" s="69"/>
      <c r="E68" s="33"/>
      <c r="F68" s="284"/>
      <c r="G68" s="244"/>
      <c r="H68" s="244"/>
      <c r="I68" s="300"/>
      <c r="J68" s="293"/>
    </row>
    <row r="69" spans="1:10">
      <c r="A69" s="68"/>
      <c r="B69" s="61"/>
      <c r="C69" s="31"/>
      <c r="D69" s="64"/>
      <c r="E69" s="33"/>
      <c r="F69" s="284"/>
      <c r="G69" s="244"/>
      <c r="H69" s="244"/>
      <c r="I69" s="300"/>
      <c r="J69" s="293"/>
    </row>
    <row r="70" spans="1:10">
      <c r="A70" s="65" t="s">
        <v>43</v>
      </c>
      <c r="B70" s="35" t="s">
        <v>44</v>
      </c>
      <c r="C70" s="36" t="s">
        <v>45</v>
      </c>
      <c r="D70" s="63"/>
      <c r="E70" s="38"/>
      <c r="F70" s="277">
        <f>D70*E70</f>
        <v>0</v>
      </c>
      <c r="G70" s="246"/>
      <c r="H70" s="246"/>
      <c r="I70" s="300"/>
      <c r="J70" s="293"/>
    </row>
    <row r="71" spans="1:10">
      <c r="A71" s="98"/>
      <c r="B71" s="92"/>
      <c r="C71" s="99"/>
      <c r="D71" s="64"/>
      <c r="E71" s="33"/>
      <c r="F71" s="285"/>
      <c r="G71" s="254"/>
      <c r="H71" s="254"/>
      <c r="I71" s="300"/>
      <c r="J71" s="293"/>
    </row>
    <row r="72" spans="1:10">
      <c r="A72" s="98" t="s">
        <v>46</v>
      </c>
      <c r="B72" s="92" t="s">
        <v>47</v>
      </c>
      <c r="C72" s="99" t="s">
        <v>45</v>
      </c>
      <c r="D72" s="64"/>
      <c r="E72" s="33"/>
      <c r="F72" s="285">
        <f>D72*E72</f>
        <v>0</v>
      </c>
      <c r="G72" s="254"/>
      <c r="H72" s="254"/>
      <c r="I72" s="300"/>
      <c r="J72" s="293"/>
    </row>
    <row r="73" spans="1:10">
      <c r="A73" s="29"/>
      <c r="B73" s="61"/>
      <c r="C73" s="31"/>
      <c r="D73" s="64"/>
      <c r="E73" s="33"/>
      <c r="F73" s="285"/>
      <c r="G73" s="254"/>
      <c r="H73" s="254"/>
      <c r="I73" s="300"/>
      <c r="J73" s="293"/>
    </row>
    <row r="74" spans="1:10">
      <c r="A74" s="29" t="s">
        <v>213</v>
      </c>
      <c r="B74" s="92" t="s">
        <v>48</v>
      </c>
      <c r="C74" s="31"/>
      <c r="D74" s="64"/>
      <c r="E74" s="33"/>
      <c r="F74" s="285"/>
      <c r="G74" s="254"/>
      <c r="H74" s="254"/>
      <c r="I74" s="300"/>
      <c r="J74" s="293"/>
    </row>
    <row r="75" spans="1:10">
      <c r="A75" s="68"/>
      <c r="B75" s="61"/>
      <c r="C75" s="31"/>
      <c r="D75" s="64"/>
      <c r="E75" s="33"/>
      <c r="F75" s="285"/>
      <c r="G75" s="254"/>
      <c r="H75" s="254"/>
      <c r="I75" s="300"/>
      <c r="J75" s="293"/>
    </row>
    <row r="76" spans="1:10">
      <c r="A76" s="65" t="s">
        <v>49</v>
      </c>
      <c r="B76" s="35" t="s">
        <v>50</v>
      </c>
      <c r="C76" s="36" t="s">
        <v>205</v>
      </c>
      <c r="D76" s="63"/>
      <c r="E76" s="38"/>
      <c r="F76" s="277">
        <f>D76*E76</f>
        <v>0</v>
      </c>
      <c r="G76" s="246"/>
      <c r="H76" s="246"/>
      <c r="I76" s="300"/>
      <c r="J76" s="293"/>
    </row>
    <row r="77" spans="1:10">
      <c r="A77" s="98"/>
      <c r="B77" s="92"/>
      <c r="C77" s="99"/>
      <c r="D77" s="69"/>
      <c r="E77" s="33"/>
      <c r="F77" s="285"/>
      <c r="G77" s="254"/>
      <c r="H77" s="254"/>
      <c r="I77" s="300"/>
      <c r="J77" s="293"/>
    </row>
    <row r="78" spans="1:10">
      <c r="A78" s="65" t="s">
        <v>51</v>
      </c>
      <c r="B78" s="35" t="s">
        <v>52</v>
      </c>
      <c r="C78" s="36" t="s">
        <v>205</v>
      </c>
      <c r="D78" s="63"/>
      <c r="E78" s="38"/>
      <c r="F78" s="277">
        <f>D78*E78</f>
        <v>0</v>
      </c>
      <c r="G78" s="246"/>
      <c r="H78" s="246"/>
      <c r="I78" s="300"/>
      <c r="J78" s="293"/>
    </row>
    <row r="79" spans="1:10">
      <c r="A79" s="29"/>
      <c r="B79" s="61"/>
      <c r="C79" s="99"/>
      <c r="D79" s="69"/>
      <c r="E79" s="33"/>
      <c r="F79" s="285"/>
      <c r="G79" s="254"/>
      <c r="H79" s="254"/>
      <c r="I79" s="300"/>
      <c r="J79" s="293"/>
    </row>
    <row r="80" spans="1:10" ht="25.5">
      <c r="A80" s="29" t="s">
        <v>214</v>
      </c>
      <c r="B80" s="100" t="s">
        <v>53</v>
      </c>
      <c r="C80" s="99"/>
      <c r="D80" s="69"/>
      <c r="E80" s="33"/>
      <c r="F80" s="285"/>
      <c r="G80" s="254"/>
      <c r="H80" s="254"/>
      <c r="I80" s="300"/>
      <c r="J80" s="293"/>
    </row>
    <row r="81" spans="1:11">
      <c r="A81" s="68"/>
      <c r="B81" s="61"/>
      <c r="C81" s="99"/>
      <c r="D81" s="69"/>
      <c r="E81" s="33"/>
      <c r="F81" s="285"/>
      <c r="G81" s="254"/>
      <c r="H81" s="254"/>
      <c r="I81" s="300"/>
      <c r="J81" s="293"/>
    </row>
    <row r="82" spans="1:11" ht="25.5">
      <c r="A82" s="65" t="s">
        <v>54</v>
      </c>
      <c r="B82" s="35" t="s">
        <v>55</v>
      </c>
      <c r="C82" s="36" t="s">
        <v>399</v>
      </c>
      <c r="D82" s="63">
        <v>6</v>
      </c>
      <c r="E82" s="38">
        <f>'Drainage Works'!D24</f>
        <v>969399.16666666663</v>
      </c>
      <c r="F82" s="277">
        <f>D82*E82</f>
        <v>5816395</v>
      </c>
      <c r="G82" s="246"/>
      <c r="H82" s="246"/>
      <c r="I82" s="304">
        <f>'Drainage Works'!D21</f>
        <v>4474150</v>
      </c>
      <c r="J82" s="295">
        <f>'Drainage Works'!D22</f>
        <v>1342245</v>
      </c>
      <c r="K82" s="211">
        <f>SUM(I82:J82)</f>
        <v>5816395</v>
      </c>
    </row>
    <row r="83" spans="1:11">
      <c r="A83" s="98"/>
      <c r="B83" s="92"/>
      <c r="C83" s="99"/>
      <c r="D83" s="69"/>
      <c r="E83" s="33"/>
      <c r="F83" s="285"/>
      <c r="G83" s="254"/>
      <c r="H83" s="254"/>
      <c r="I83" s="300"/>
      <c r="J83" s="293"/>
    </row>
    <row r="84" spans="1:11" ht="25.5">
      <c r="A84" s="65" t="s">
        <v>56</v>
      </c>
      <c r="B84" s="35" t="s">
        <v>57</v>
      </c>
      <c r="C84" s="36" t="s">
        <v>399</v>
      </c>
      <c r="D84" s="63"/>
      <c r="E84" s="38"/>
      <c r="F84" s="277">
        <f>D84*E84</f>
        <v>0</v>
      </c>
      <c r="G84" s="246"/>
      <c r="H84" s="246"/>
      <c r="I84" s="300"/>
      <c r="J84" s="293"/>
    </row>
    <row r="85" spans="1:11">
      <c r="A85" s="98"/>
      <c r="B85" s="92"/>
      <c r="C85" s="99"/>
      <c r="D85" s="69"/>
      <c r="E85" s="33"/>
      <c r="F85" s="285"/>
      <c r="G85" s="254"/>
      <c r="H85" s="254"/>
      <c r="I85" s="300"/>
      <c r="J85" s="293"/>
    </row>
    <row r="86" spans="1:11">
      <c r="A86" s="98" t="s">
        <v>58</v>
      </c>
      <c r="B86" s="92" t="s">
        <v>59</v>
      </c>
      <c r="C86" s="99" t="s">
        <v>21</v>
      </c>
      <c r="D86" s="69"/>
      <c r="E86" s="33"/>
      <c r="F86" s="285">
        <f>D86*E86</f>
        <v>0</v>
      </c>
      <c r="G86" s="254"/>
      <c r="H86" s="254"/>
      <c r="I86" s="300"/>
      <c r="J86" s="293"/>
    </row>
    <row r="87" spans="1:11">
      <c r="A87" s="98"/>
      <c r="B87" s="92"/>
      <c r="C87" s="99"/>
      <c r="D87" s="69"/>
      <c r="E87" s="33"/>
      <c r="F87" s="285"/>
      <c r="G87" s="254"/>
      <c r="H87" s="254"/>
      <c r="I87" s="300"/>
      <c r="J87" s="293"/>
    </row>
    <row r="88" spans="1:11">
      <c r="A88" s="98" t="s">
        <v>60</v>
      </c>
      <c r="B88" s="92" t="s">
        <v>61</v>
      </c>
      <c r="C88" s="99" t="s">
        <v>21</v>
      </c>
      <c r="D88" s="69"/>
      <c r="E88" s="33"/>
      <c r="F88" s="285">
        <f>D88*E88</f>
        <v>0</v>
      </c>
      <c r="G88" s="254"/>
      <c r="H88" s="254"/>
      <c r="I88" s="300"/>
      <c r="J88" s="293"/>
    </row>
    <row r="89" spans="1:11">
      <c r="A89" s="29"/>
      <c r="B89" s="61"/>
      <c r="C89" s="31"/>
      <c r="D89" s="69"/>
      <c r="E89" s="33"/>
      <c r="F89" s="285"/>
      <c r="G89" s="254"/>
      <c r="H89" s="254"/>
      <c r="I89" s="300"/>
      <c r="J89" s="293"/>
    </row>
    <row r="90" spans="1:11">
      <c r="A90" s="29" t="s">
        <v>215</v>
      </c>
      <c r="B90" s="92" t="s">
        <v>62</v>
      </c>
      <c r="C90" s="31"/>
      <c r="D90" s="69"/>
      <c r="E90" s="33"/>
      <c r="F90" s="285"/>
      <c r="G90" s="254"/>
      <c r="H90" s="254"/>
      <c r="I90" s="300"/>
      <c r="J90" s="293"/>
    </row>
    <row r="91" spans="1:11">
      <c r="A91" s="68"/>
      <c r="B91" s="61"/>
      <c r="C91" s="31"/>
      <c r="D91" s="69"/>
      <c r="E91" s="33"/>
      <c r="F91" s="285"/>
      <c r="G91" s="254"/>
      <c r="H91" s="254"/>
      <c r="I91" s="300"/>
      <c r="J91" s="293"/>
    </row>
    <row r="92" spans="1:11">
      <c r="A92" s="98" t="s">
        <v>63</v>
      </c>
      <c r="B92" s="92" t="s">
        <v>64</v>
      </c>
      <c r="C92" s="99" t="s">
        <v>21</v>
      </c>
      <c r="D92" s="69"/>
      <c r="E92" s="33"/>
      <c r="F92" s="285">
        <f>D92*E92</f>
        <v>0</v>
      </c>
      <c r="G92" s="254"/>
      <c r="H92" s="254"/>
      <c r="I92" s="300"/>
      <c r="J92" s="293"/>
    </row>
    <row r="93" spans="1:11">
      <c r="A93" s="98"/>
      <c r="B93" s="92"/>
      <c r="C93" s="99"/>
      <c r="D93" s="69"/>
      <c r="E93" s="33"/>
      <c r="F93" s="285"/>
      <c r="G93" s="254"/>
      <c r="H93" s="254"/>
      <c r="I93" s="300"/>
      <c r="J93" s="293"/>
    </row>
    <row r="94" spans="1:11">
      <c r="A94" s="98" t="s">
        <v>65</v>
      </c>
      <c r="B94" s="92" t="s">
        <v>66</v>
      </c>
      <c r="C94" s="99" t="s">
        <v>21</v>
      </c>
      <c r="D94" s="69"/>
      <c r="E94" s="33"/>
      <c r="F94" s="285">
        <f>D94*E94</f>
        <v>0</v>
      </c>
      <c r="G94" s="254"/>
      <c r="H94" s="254"/>
      <c r="I94" s="300"/>
      <c r="J94" s="293"/>
    </row>
    <row r="95" spans="1:11">
      <c r="A95" s="98"/>
      <c r="B95" s="92"/>
      <c r="C95" s="99"/>
      <c r="D95" s="69"/>
      <c r="E95" s="33"/>
      <c r="F95" s="285"/>
      <c r="G95" s="254"/>
      <c r="H95" s="254"/>
      <c r="I95" s="300"/>
      <c r="J95" s="293"/>
    </row>
    <row r="96" spans="1:11" ht="25.5">
      <c r="A96" s="65" t="s">
        <v>67</v>
      </c>
      <c r="B96" s="35" t="s">
        <v>68</v>
      </c>
      <c r="C96" s="36" t="s">
        <v>21</v>
      </c>
      <c r="D96" s="63"/>
      <c r="E96" s="38"/>
      <c r="F96" s="277">
        <f>D96*E96</f>
        <v>0</v>
      </c>
      <c r="G96" s="246"/>
      <c r="H96" s="246"/>
      <c r="I96" s="300"/>
      <c r="J96" s="293"/>
    </row>
    <row r="97" spans="1:11">
      <c r="A97" s="98"/>
      <c r="B97" s="92"/>
      <c r="C97" s="99"/>
      <c r="D97" s="69"/>
      <c r="E97" s="33"/>
      <c r="F97" s="285"/>
      <c r="G97" s="254"/>
      <c r="H97" s="254"/>
      <c r="I97" s="300"/>
      <c r="J97" s="293"/>
    </row>
    <row r="98" spans="1:11">
      <c r="A98" s="101" t="s">
        <v>69</v>
      </c>
      <c r="B98" s="92" t="s">
        <v>70</v>
      </c>
      <c r="C98" s="99" t="s">
        <v>21</v>
      </c>
      <c r="D98" s="69"/>
      <c r="E98" s="33"/>
      <c r="F98" s="285">
        <f>D98*E98</f>
        <v>0</v>
      </c>
      <c r="G98" s="254"/>
      <c r="H98" s="254"/>
      <c r="I98" s="300"/>
      <c r="J98" s="293"/>
    </row>
    <row r="99" spans="1:11">
      <c r="A99" s="29"/>
      <c r="B99" s="61"/>
      <c r="C99" s="31"/>
      <c r="D99" s="69"/>
      <c r="E99" s="33"/>
      <c r="F99" s="285"/>
      <c r="G99" s="254"/>
      <c r="H99" s="254"/>
      <c r="I99" s="300"/>
      <c r="J99" s="293"/>
    </row>
    <row r="100" spans="1:11" ht="25.5">
      <c r="A100" s="65" t="s">
        <v>216</v>
      </c>
      <c r="B100" s="35" t="s">
        <v>71</v>
      </c>
      <c r="C100" s="36" t="s">
        <v>16</v>
      </c>
      <c r="D100" s="63"/>
      <c r="E100" s="38"/>
      <c r="F100" s="277">
        <f>D100*E100</f>
        <v>0</v>
      </c>
      <c r="G100" s="246"/>
      <c r="H100" s="246"/>
      <c r="I100" s="300"/>
      <c r="J100" s="293"/>
    </row>
    <row r="101" spans="1:11">
      <c r="A101" s="68"/>
      <c r="B101" s="61"/>
      <c r="C101" s="31"/>
      <c r="D101" s="69"/>
      <c r="E101" s="33"/>
      <c r="F101" s="285"/>
      <c r="G101" s="254"/>
      <c r="H101" s="254"/>
      <c r="I101" s="300"/>
      <c r="J101" s="293"/>
    </row>
    <row r="102" spans="1:11" ht="25.5">
      <c r="A102" s="65" t="s">
        <v>217</v>
      </c>
      <c r="B102" s="35" t="s">
        <v>72</v>
      </c>
      <c r="C102" s="36"/>
      <c r="D102" s="63"/>
      <c r="E102" s="33"/>
      <c r="F102" s="277"/>
      <c r="G102" s="246"/>
      <c r="H102" s="246"/>
      <c r="I102" s="300"/>
      <c r="J102" s="293"/>
    </row>
    <row r="103" spans="1:11">
      <c r="A103" s="68"/>
      <c r="B103" s="61"/>
      <c r="C103" s="31"/>
      <c r="D103" s="69"/>
      <c r="E103" s="33"/>
      <c r="F103" s="285"/>
      <c r="G103" s="254"/>
      <c r="H103" s="254"/>
      <c r="I103" s="300"/>
      <c r="J103" s="293"/>
    </row>
    <row r="104" spans="1:11">
      <c r="A104" s="65" t="s">
        <v>73</v>
      </c>
      <c r="B104" s="35" t="s">
        <v>74</v>
      </c>
      <c r="C104" s="36" t="s">
        <v>205</v>
      </c>
      <c r="D104" s="63"/>
      <c r="E104" s="38"/>
      <c r="F104" s="277">
        <f>D104*E104</f>
        <v>0</v>
      </c>
      <c r="G104" s="246"/>
      <c r="H104" s="246"/>
      <c r="I104" s="300"/>
      <c r="J104" s="293"/>
    </row>
    <row r="105" spans="1:11">
      <c r="A105" s="98"/>
      <c r="B105" s="92"/>
      <c r="C105" s="31"/>
      <c r="D105" s="69"/>
      <c r="E105" s="33"/>
      <c r="F105" s="285"/>
      <c r="G105" s="254"/>
      <c r="H105" s="254"/>
      <c r="I105" s="300"/>
      <c r="J105" s="293"/>
    </row>
    <row r="106" spans="1:11">
      <c r="A106" s="65" t="s">
        <v>75</v>
      </c>
      <c r="B106" s="35" t="s">
        <v>76</v>
      </c>
      <c r="C106" s="36" t="s">
        <v>205</v>
      </c>
      <c r="D106" s="63"/>
      <c r="E106" s="38"/>
      <c r="F106" s="277">
        <f>D106*E106</f>
        <v>0</v>
      </c>
      <c r="G106" s="246"/>
      <c r="H106" s="246"/>
      <c r="I106" s="300"/>
      <c r="J106" s="293"/>
    </row>
    <row r="107" spans="1:11">
      <c r="A107" s="98"/>
      <c r="B107" s="92"/>
      <c r="C107" s="31"/>
      <c r="D107" s="69"/>
      <c r="E107" s="33"/>
      <c r="F107" s="284"/>
      <c r="G107" s="244"/>
      <c r="H107" s="244"/>
      <c r="I107" s="300"/>
      <c r="J107" s="293"/>
    </row>
    <row r="108" spans="1:11">
      <c r="A108" s="98"/>
      <c r="B108" s="92"/>
      <c r="C108" s="31"/>
      <c r="D108" s="69"/>
      <c r="E108" s="33"/>
      <c r="F108" s="284"/>
      <c r="G108" s="244"/>
      <c r="H108" s="244"/>
      <c r="I108" s="300"/>
      <c r="J108" s="293"/>
    </row>
    <row r="109" spans="1:11" ht="15.75" thickBot="1">
      <c r="A109" s="48" t="s">
        <v>77</v>
      </c>
      <c r="B109" s="49"/>
      <c r="C109" s="49"/>
      <c r="D109" s="94"/>
      <c r="E109" s="50"/>
      <c r="F109" s="271">
        <f>SUM(F70:F108)</f>
        <v>5816395</v>
      </c>
      <c r="G109" s="253"/>
      <c r="H109" s="253"/>
      <c r="I109" s="51">
        <f t="shared" ref="I109:J109" si="2">SUM(I70:I108)</f>
        <v>4474150</v>
      </c>
      <c r="J109" s="271">
        <f t="shared" si="2"/>
        <v>1342245</v>
      </c>
      <c r="K109" s="213">
        <f>SUM(I109:J109)</f>
        <v>5816395</v>
      </c>
    </row>
    <row r="110" spans="1:11" ht="23.25">
      <c r="A110" s="10" t="s">
        <v>8</v>
      </c>
      <c r="B110" s="52"/>
      <c r="C110" s="52"/>
      <c r="D110" s="79"/>
      <c r="E110" s="13" t="s">
        <v>9</v>
      </c>
      <c r="F110" s="281">
        <f>F61+1</f>
        <v>5</v>
      </c>
      <c r="G110" s="249"/>
      <c r="H110" s="249"/>
      <c r="I110" s="300"/>
      <c r="J110" s="293"/>
    </row>
    <row r="111" spans="1:11">
      <c r="A111" s="102"/>
      <c r="B111" s="103"/>
      <c r="C111" s="103"/>
      <c r="D111" s="104"/>
      <c r="E111" s="105"/>
      <c r="F111" s="291"/>
      <c r="G111" s="257"/>
      <c r="H111" s="257"/>
      <c r="I111" s="300"/>
      <c r="J111" s="293"/>
    </row>
    <row r="112" spans="1:11" ht="15.75">
      <c r="A112" s="54" t="s">
        <v>78</v>
      </c>
      <c r="B112" s="55"/>
      <c r="C112" s="55"/>
      <c r="D112" s="80"/>
      <c r="E112" s="57">
        <f>$E$3</f>
        <v>0</v>
      </c>
      <c r="F112" s="282"/>
      <c r="G112" s="250"/>
      <c r="H112" s="250"/>
      <c r="I112" s="300"/>
      <c r="J112" s="293"/>
    </row>
    <row r="113" spans="1:11" ht="18">
      <c r="A113" s="81"/>
      <c r="B113" s="82"/>
      <c r="C113" s="82"/>
      <c r="D113" s="83"/>
      <c r="E113" s="21"/>
      <c r="F113" s="283"/>
      <c r="G113" s="250"/>
      <c r="H113" s="250"/>
      <c r="I113" s="300"/>
      <c r="J113" s="293"/>
    </row>
    <row r="114" spans="1:11">
      <c r="A114" s="22" t="str">
        <f>A4</f>
        <v xml:space="preserve">Magege Kanushu Road </v>
      </c>
      <c r="B114" s="23"/>
      <c r="C114" s="23"/>
      <c r="D114" s="84"/>
      <c r="E114" s="24" t="str">
        <f>$E$5</f>
        <v>Rate (UGX)</v>
      </c>
      <c r="F114" s="274"/>
      <c r="G114" s="152"/>
      <c r="H114" s="152"/>
      <c r="I114" s="300"/>
      <c r="J114" s="293"/>
    </row>
    <row r="115" spans="1:11">
      <c r="A115" s="25">
        <f>$A$6</f>
        <v>0</v>
      </c>
      <c r="B115" s="26">
        <f>$B$6</f>
        <v>0</v>
      </c>
      <c r="C115" s="27">
        <f>$C$6</f>
        <v>0</v>
      </c>
      <c r="D115" s="85">
        <f>$D$6</f>
        <v>0</v>
      </c>
      <c r="E115" s="60">
        <f>$E$6</f>
        <v>0</v>
      </c>
      <c r="F115" s="27">
        <f>$F$6</f>
        <v>0</v>
      </c>
      <c r="G115" s="251"/>
      <c r="H115" s="251"/>
      <c r="I115" s="300"/>
      <c r="J115" s="293"/>
    </row>
    <row r="116" spans="1:11">
      <c r="A116" s="29"/>
      <c r="B116" s="106" t="s">
        <v>79</v>
      </c>
      <c r="C116" s="31"/>
      <c r="D116" s="69"/>
      <c r="E116" s="33"/>
      <c r="F116" s="275">
        <f>F109</f>
        <v>5816395</v>
      </c>
      <c r="G116" s="253"/>
      <c r="H116" s="253"/>
      <c r="I116" s="107">
        <f t="shared" ref="I116:J116" si="3">I109</f>
        <v>4474150</v>
      </c>
      <c r="J116" s="275">
        <f t="shared" si="3"/>
        <v>1342245</v>
      </c>
      <c r="K116" s="213">
        <f>SUM(I116:J116)</f>
        <v>5816395</v>
      </c>
    </row>
    <row r="117" spans="1:11">
      <c r="A117" s="29"/>
      <c r="B117" s="106"/>
      <c r="C117" s="31"/>
      <c r="D117" s="69"/>
      <c r="E117" s="33"/>
      <c r="F117" s="276"/>
      <c r="G117" s="244"/>
      <c r="H117" s="244"/>
      <c r="I117" s="300"/>
      <c r="J117" s="293"/>
    </row>
    <row r="118" spans="1:11" ht="35.25">
      <c r="A118" s="65" t="s">
        <v>218</v>
      </c>
      <c r="B118" s="35" t="s">
        <v>80</v>
      </c>
      <c r="C118" s="36" t="s">
        <v>205</v>
      </c>
      <c r="D118" s="63"/>
      <c r="E118" s="33"/>
      <c r="F118" s="277">
        <f>D118*E118</f>
        <v>0</v>
      </c>
      <c r="G118" s="246"/>
      <c r="H118" s="246"/>
      <c r="I118" s="300"/>
      <c r="J118" s="293"/>
    </row>
    <row r="119" spans="1:11">
      <c r="A119" s="68"/>
      <c r="B119" s="61"/>
      <c r="C119" s="31"/>
      <c r="D119" s="69"/>
      <c r="E119" s="33"/>
      <c r="F119" s="285"/>
      <c r="G119" s="254"/>
      <c r="H119" s="254"/>
      <c r="I119" s="300"/>
      <c r="J119" s="293"/>
    </row>
    <row r="120" spans="1:11" ht="35.25">
      <c r="A120" s="65" t="s">
        <v>219</v>
      </c>
      <c r="B120" s="35" t="s">
        <v>81</v>
      </c>
      <c r="C120" s="36" t="s">
        <v>209</v>
      </c>
      <c r="D120" s="63"/>
      <c r="E120" s="38"/>
      <c r="F120" s="277">
        <f>D120*E120</f>
        <v>0</v>
      </c>
      <c r="G120" s="246"/>
      <c r="H120" s="246"/>
      <c r="I120" s="300"/>
      <c r="J120" s="293"/>
    </row>
    <row r="121" spans="1:11">
      <c r="A121" s="68"/>
      <c r="B121" s="92"/>
      <c r="C121" s="99"/>
      <c r="D121" s="69"/>
      <c r="E121" s="33"/>
      <c r="F121" s="285"/>
      <c r="G121" s="254"/>
      <c r="H121" s="254"/>
      <c r="I121" s="300"/>
      <c r="J121" s="293"/>
    </row>
    <row r="122" spans="1:11" ht="35.25">
      <c r="A122" s="65" t="s">
        <v>220</v>
      </c>
      <c r="B122" s="35" t="s">
        <v>82</v>
      </c>
      <c r="C122" s="36"/>
      <c r="D122" s="63"/>
      <c r="E122" s="33"/>
      <c r="F122" s="277"/>
      <c r="G122" s="246"/>
      <c r="H122" s="246"/>
      <c r="I122" s="300"/>
      <c r="J122" s="293"/>
    </row>
    <row r="123" spans="1:11">
      <c r="A123" s="98" t="s">
        <v>83</v>
      </c>
      <c r="B123" s="92" t="s">
        <v>84</v>
      </c>
      <c r="C123" s="31" t="s">
        <v>85</v>
      </c>
      <c r="D123" s="69"/>
      <c r="E123" s="33"/>
      <c r="F123" s="285">
        <f>D123*E123</f>
        <v>0</v>
      </c>
      <c r="G123" s="254"/>
      <c r="H123" s="254"/>
      <c r="I123" s="300"/>
      <c r="J123" s="293"/>
    </row>
    <row r="124" spans="1:11">
      <c r="A124" s="98" t="s">
        <v>86</v>
      </c>
      <c r="B124" s="92" t="s">
        <v>87</v>
      </c>
      <c r="C124" s="31" t="s">
        <v>209</v>
      </c>
      <c r="D124" s="69"/>
      <c r="E124" s="33"/>
      <c r="F124" s="285">
        <f>D124*E124</f>
        <v>0</v>
      </c>
      <c r="G124" s="254"/>
      <c r="H124" s="254"/>
      <c r="I124" s="300"/>
      <c r="J124" s="293"/>
    </row>
    <row r="125" spans="1:11">
      <c r="A125" s="108"/>
      <c r="B125" s="61"/>
      <c r="C125" s="31"/>
      <c r="D125" s="69"/>
      <c r="E125" s="33"/>
      <c r="F125" s="285"/>
      <c r="G125" s="254"/>
      <c r="H125" s="254"/>
      <c r="I125" s="300"/>
      <c r="J125" s="293"/>
    </row>
    <row r="126" spans="1:11" ht="35.25">
      <c r="A126" s="65" t="s">
        <v>221</v>
      </c>
      <c r="B126" s="35" t="s">
        <v>88</v>
      </c>
      <c r="C126" s="36" t="s">
        <v>205</v>
      </c>
      <c r="D126" s="63"/>
      <c r="E126" s="38"/>
      <c r="F126" s="277">
        <f>D126*E126</f>
        <v>0</v>
      </c>
      <c r="G126" s="246"/>
      <c r="H126" s="246"/>
      <c r="I126" s="300"/>
      <c r="J126" s="293"/>
    </row>
    <row r="127" spans="1:11">
      <c r="A127" s="98"/>
      <c r="B127" s="92"/>
      <c r="C127" s="99"/>
      <c r="D127" s="69"/>
      <c r="E127" s="33"/>
      <c r="F127" s="285"/>
      <c r="G127" s="254"/>
      <c r="H127" s="254"/>
      <c r="I127" s="300"/>
      <c r="J127" s="293"/>
    </row>
    <row r="128" spans="1:11" ht="35.25">
      <c r="A128" s="65" t="s">
        <v>222</v>
      </c>
      <c r="B128" s="109" t="s">
        <v>89</v>
      </c>
      <c r="C128" s="110"/>
      <c r="D128" s="111"/>
      <c r="E128" s="42"/>
      <c r="F128" s="277"/>
      <c r="G128" s="246"/>
      <c r="H128" s="246"/>
      <c r="I128" s="300"/>
      <c r="J128" s="293"/>
    </row>
    <row r="129" spans="1:10">
      <c r="A129" s="112" t="s">
        <v>90</v>
      </c>
      <c r="B129" s="109" t="s">
        <v>91</v>
      </c>
      <c r="C129" s="36" t="s">
        <v>205</v>
      </c>
      <c r="D129" s="111"/>
      <c r="E129" s="38"/>
      <c r="F129" s="277">
        <f>D129*E129</f>
        <v>0</v>
      </c>
      <c r="G129" s="246"/>
      <c r="H129" s="246"/>
      <c r="I129" s="302"/>
      <c r="J129" s="293"/>
    </row>
    <row r="130" spans="1:10">
      <c r="A130" s="112" t="s">
        <v>92</v>
      </c>
      <c r="B130" s="109" t="s">
        <v>93</v>
      </c>
      <c r="C130" s="36" t="s">
        <v>205</v>
      </c>
      <c r="D130" s="63"/>
      <c r="E130" s="38"/>
      <c r="F130" s="277">
        <f>D130*E130</f>
        <v>0</v>
      </c>
      <c r="G130" s="246"/>
      <c r="H130" s="246"/>
      <c r="I130" s="302"/>
      <c r="J130" s="293"/>
    </row>
    <row r="131" spans="1:10">
      <c r="A131" s="112" t="s">
        <v>94</v>
      </c>
      <c r="B131" s="109" t="s">
        <v>95</v>
      </c>
      <c r="C131" s="36" t="s">
        <v>205</v>
      </c>
      <c r="D131" s="111"/>
      <c r="E131" s="38"/>
      <c r="F131" s="277">
        <f>D131*E131</f>
        <v>0</v>
      </c>
      <c r="G131" s="246"/>
      <c r="H131" s="246"/>
      <c r="I131" s="302"/>
      <c r="J131" s="293"/>
    </row>
    <row r="132" spans="1:10">
      <c r="A132" s="29"/>
      <c r="B132" s="61"/>
      <c r="C132" s="31"/>
      <c r="D132" s="69"/>
      <c r="E132" s="33"/>
      <c r="F132" s="285"/>
      <c r="G132" s="254"/>
      <c r="H132" s="254"/>
      <c r="I132" s="300"/>
      <c r="J132" s="293"/>
    </row>
    <row r="133" spans="1:10" ht="25.5">
      <c r="A133" s="65" t="s">
        <v>223</v>
      </c>
      <c r="B133" s="35" t="s">
        <v>96</v>
      </c>
      <c r="C133" s="36" t="s">
        <v>205</v>
      </c>
      <c r="D133" s="63"/>
      <c r="E133" s="38"/>
      <c r="F133" s="277">
        <f>D133*E133</f>
        <v>0</v>
      </c>
      <c r="G133" s="246"/>
      <c r="H133" s="246"/>
      <c r="I133" s="300"/>
      <c r="J133" s="293"/>
    </row>
    <row r="134" spans="1:10">
      <c r="A134" s="98"/>
      <c r="B134" s="92"/>
      <c r="C134" s="99"/>
      <c r="D134" s="69"/>
      <c r="E134" s="33"/>
      <c r="F134" s="285"/>
      <c r="G134" s="254"/>
      <c r="H134" s="254"/>
      <c r="I134" s="300"/>
      <c r="J134" s="293"/>
    </row>
    <row r="135" spans="1:10" ht="35.25">
      <c r="A135" s="65" t="s">
        <v>224</v>
      </c>
      <c r="B135" s="35" t="s">
        <v>97</v>
      </c>
      <c r="C135" s="36" t="s">
        <v>209</v>
      </c>
      <c r="D135" s="63"/>
      <c r="E135" s="38"/>
      <c r="F135" s="277">
        <f>D135*E135</f>
        <v>0</v>
      </c>
      <c r="G135" s="246"/>
      <c r="H135" s="246"/>
      <c r="I135" s="300"/>
      <c r="J135" s="293"/>
    </row>
    <row r="136" spans="1:10">
      <c r="A136" s="29"/>
      <c r="B136" s="61"/>
      <c r="C136" s="31"/>
      <c r="D136" s="69"/>
      <c r="E136" s="33"/>
      <c r="F136" s="285"/>
      <c r="G136" s="254"/>
      <c r="H136" s="254"/>
      <c r="I136" s="300"/>
      <c r="J136" s="293"/>
    </row>
    <row r="137" spans="1:10" ht="35.25">
      <c r="A137" s="65" t="s">
        <v>225</v>
      </c>
      <c r="B137" s="35" t="s">
        <v>98</v>
      </c>
      <c r="C137" s="36" t="s">
        <v>205</v>
      </c>
      <c r="D137" s="63"/>
      <c r="E137" s="38"/>
      <c r="F137" s="277">
        <f>D137*E137</f>
        <v>0</v>
      </c>
      <c r="G137" s="246"/>
      <c r="H137" s="246"/>
      <c r="I137" s="300"/>
      <c r="J137" s="293"/>
    </row>
    <row r="138" spans="1:10">
      <c r="A138" s="68"/>
      <c r="B138" s="61"/>
      <c r="C138" s="31"/>
      <c r="D138" s="69"/>
      <c r="E138" s="33"/>
      <c r="F138" s="285"/>
      <c r="G138" s="254"/>
      <c r="H138" s="254"/>
      <c r="I138" s="300"/>
      <c r="J138" s="293"/>
    </row>
    <row r="139" spans="1:10" ht="24">
      <c r="A139" s="65" t="s">
        <v>226</v>
      </c>
      <c r="B139" s="40" t="s">
        <v>99</v>
      </c>
      <c r="C139" s="36" t="s">
        <v>16</v>
      </c>
      <c r="D139" s="111"/>
      <c r="E139" s="42"/>
      <c r="F139" s="277">
        <f>D139*E139</f>
        <v>0</v>
      </c>
      <c r="G139" s="246"/>
      <c r="H139" s="246"/>
      <c r="I139" s="302"/>
      <c r="J139" s="293"/>
    </row>
    <row r="140" spans="1:10">
      <c r="A140" s="29"/>
      <c r="B140" s="61"/>
      <c r="C140" s="31"/>
      <c r="D140" s="69"/>
      <c r="E140" s="33"/>
      <c r="F140" s="285"/>
      <c r="G140" s="254"/>
      <c r="H140" s="254"/>
      <c r="I140" s="300"/>
      <c r="J140" s="293"/>
    </row>
    <row r="141" spans="1:10" ht="63.75">
      <c r="A141" s="65" t="s">
        <v>227</v>
      </c>
      <c r="B141" s="35" t="s">
        <v>100</v>
      </c>
      <c r="C141" s="36" t="s">
        <v>16</v>
      </c>
      <c r="D141" s="63"/>
      <c r="E141" s="38"/>
      <c r="F141" s="277">
        <f>D141*E141</f>
        <v>0</v>
      </c>
      <c r="G141" s="246"/>
      <c r="H141" s="246"/>
      <c r="I141" s="300"/>
      <c r="J141" s="293"/>
    </row>
    <row r="142" spans="1:10">
      <c r="A142" s="98"/>
      <c r="B142" s="92"/>
      <c r="C142" s="31"/>
      <c r="D142" s="69"/>
      <c r="E142" s="33"/>
      <c r="F142" s="285"/>
      <c r="G142" s="254"/>
      <c r="H142" s="254"/>
      <c r="I142" s="300"/>
      <c r="J142" s="293"/>
    </row>
    <row r="143" spans="1:10" ht="38.25">
      <c r="A143" s="65">
        <v>4.17</v>
      </c>
      <c r="B143" s="35" t="s">
        <v>101</v>
      </c>
      <c r="C143" s="36" t="s">
        <v>16</v>
      </c>
      <c r="D143" s="63"/>
      <c r="E143" s="38"/>
      <c r="F143" s="277">
        <f>D143*E143</f>
        <v>0</v>
      </c>
      <c r="G143" s="246"/>
      <c r="H143" s="246"/>
      <c r="I143" s="300"/>
      <c r="J143" s="293"/>
    </row>
    <row r="144" spans="1:10">
      <c r="A144" s="112"/>
      <c r="B144" s="109"/>
      <c r="C144" s="36"/>
      <c r="D144" s="113"/>
      <c r="E144" s="41"/>
      <c r="F144" s="277"/>
      <c r="G144" s="246"/>
      <c r="H144" s="246"/>
      <c r="I144" s="300"/>
      <c r="J144" s="293"/>
    </row>
    <row r="145" spans="1:11" ht="15.75" thickBot="1">
      <c r="A145" s="48" t="s">
        <v>102</v>
      </c>
      <c r="B145" s="49"/>
      <c r="C145" s="49"/>
      <c r="D145" s="94"/>
      <c r="E145" s="50"/>
      <c r="F145" s="271">
        <f>SUM(F116:F144)</f>
        <v>5816395</v>
      </c>
      <c r="G145" s="253"/>
      <c r="H145" s="253"/>
      <c r="I145" s="51">
        <f t="shared" ref="I145:J145" si="4">SUM(I116:I144)</f>
        <v>4474150</v>
      </c>
      <c r="J145" s="271">
        <f t="shared" si="4"/>
        <v>1342245</v>
      </c>
      <c r="K145" s="213">
        <f>SUM(I145:J145)</f>
        <v>5816395</v>
      </c>
    </row>
    <row r="146" spans="1:11" ht="23.25">
      <c r="A146" s="10" t="s">
        <v>8</v>
      </c>
      <c r="B146" s="52"/>
      <c r="C146" s="52"/>
      <c r="D146" s="79"/>
      <c r="E146" s="13" t="s">
        <v>9</v>
      </c>
      <c r="F146" s="281">
        <f>F110+1</f>
        <v>6</v>
      </c>
      <c r="G146" s="249"/>
      <c r="H146" s="249"/>
      <c r="I146" s="300"/>
      <c r="J146" s="293"/>
    </row>
    <row r="147" spans="1:11">
      <c r="A147" s="102"/>
      <c r="B147" s="103"/>
      <c r="C147" s="103"/>
      <c r="D147" s="104"/>
      <c r="E147" s="105"/>
      <c r="F147" s="291"/>
      <c r="G147" s="257"/>
      <c r="H147" s="257"/>
      <c r="I147" s="300"/>
      <c r="J147" s="293"/>
    </row>
    <row r="148" spans="1:11" ht="15.75">
      <c r="A148" s="54" t="s">
        <v>103</v>
      </c>
      <c r="B148" s="55"/>
      <c r="C148" s="55"/>
      <c r="D148" s="80"/>
      <c r="E148" s="57">
        <f>$E$3</f>
        <v>0</v>
      </c>
      <c r="F148" s="282"/>
      <c r="G148" s="250"/>
      <c r="H148" s="250"/>
      <c r="I148" s="300"/>
      <c r="J148" s="293"/>
    </row>
    <row r="149" spans="1:11" ht="18">
      <c r="A149" s="81"/>
      <c r="B149" s="82"/>
      <c r="C149" s="82"/>
      <c r="D149" s="83"/>
      <c r="E149" s="21"/>
      <c r="F149" s="283"/>
      <c r="G149" s="250"/>
      <c r="H149" s="250"/>
      <c r="I149" s="300"/>
      <c r="J149" s="293"/>
    </row>
    <row r="150" spans="1:11">
      <c r="A150" s="22" t="str">
        <f>A4</f>
        <v xml:space="preserve">Magege Kanushu Road </v>
      </c>
      <c r="B150" s="23"/>
      <c r="C150" s="23"/>
      <c r="D150" s="84"/>
      <c r="E150" s="24" t="str">
        <f>$E$5</f>
        <v>Rate (UGX)</v>
      </c>
      <c r="F150" s="274"/>
      <c r="G150" s="152"/>
      <c r="H150" s="152"/>
      <c r="I150" s="305"/>
      <c r="J150" s="296"/>
    </row>
    <row r="151" spans="1:11">
      <c r="A151" s="25">
        <f>$A$6</f>
        <v>0</v>
      </c>
      <c r="B151" s="26">
        <f>$B$6</f>
        <v>0</v>
      </c>
      <c r="C151" s="27">
        <f>$C$6</f>
        <v>0</v>
      </c>
      <c r="D151" s="85">
        <f>$D$6</f>
        <v>0</v>
      </c>
      <c r="E151" s="60">
        <f>$E$6</f>
        <v>0</v>
      </c>
      <c r="F151" s="27">
        <f>$F$6</f>
        <v>0</v>
      </c>
      <c r="G151" s="251"/>
      <c r="H151" s="251"/>
      <c r="I151" s="306"/>
      <c r="J151" s="296"/>
    </row>
    <row r="152" spans="1:11">
      <c r="A152" s="29"/>
      <c r="B152" s="61"/>
      <c r="C152" s="31"/>
      <c r="D152" s="69"/>
      <c r="E152" s="33"/>
      <c r="F152" s="284"/>
      <c r="G152" s="244"/>
      <c r="H152" s="244"/>
      <c r="I152" s="305"/>
      <c r="J152" s="296"/>
    </row>
    <row r="153" spans="1:11" ht="25.5">
      <c r="A153" s="65" t="s">
        <v>228</v>
      </c>
      <c r="B153" s="35" t="s">
        <v>104</v>
      </c>
      <c r="C153" s="36" t="s">
        <v>209</v>
      </c>
      <c r="D153" s="63">
        <v>1</v>
      </c>
      <c r="E153" s="38">
        <f>Graveling!D14</f>
        <v>6694025</v>
      </c>
      <c r="F153" s="277">
        <f>D153*E153</f>
        <v>6694025</v>
      </c>
      <c r="G153" s="246"/>
      <c r="H153" s="246"/>
      <c r="I153" s="305">
        <f>Graveling!D12</f>
        <v>5149250</v>
      </c>
      <c r="J153" s="296">
        <f>Graveling!D13</f>
        <v>1544775</v>
      </c>
      <c r="K153" s="311">
        <f>SUM(I153:J153)</f>
        <v>6694025</v>
      </c>
    </row>
    <row r="154" spans="1:11">
      <c r="A154" s="29"/>
      <c r="B154" s="61"/>
      <c r="C154" s="31"/>
      <c r="D154" s="64"/>
      <c r="E154" s="33"/>
      <c r="F154" s="284"/>
      <c r="G154" s="244"/>
      <c r="H154" s="244"/>
      <c r="I154" s="305"/>
      <c r="J154" s="296"/>
    </row>
    <row r="155" spans="1:11" ht="38.25">
      <c r="A155" s="65" t="s">
        <v>229</v>
      </c>
      <c r="B155" s="35" t="s">
        <v>105</v>
      </c>
      <c r="C155" s="36" t="s">
        <v>205</v>
      </c>
      <c r="D155" s="63">
        <v>1</v>
      </c>
      <c r="E155" s="38">
        <f>Graveling!D49</f>
        <v>24871795</v>
      </c>
      <c r="F155" s="277">
        <f>D155*E155</f>
        <v>24871795</v>
      </c>
      <c r="G155" s="246"/>
      <c r="H155" s="246"/>
      <c r="I155" s="305">
        <f>Graveling!D26+Graveling!D46</f>
        <v>19132150</v>
      </c>
      <c r="J155" s="296">
        <f>Graveling!D27+Graveling!D47</f>
        <v>5739645</v>
      </c>
      <c r="K155" s="311">
        <f>SUM(I155:J155)</f>
        <v>24871795</v>
      </c>
    </row>
    <row r="156" spans="1:11">
      <c r="A156" s="29"/>
      <c r="B156" s="114"/>
      <c r="C156" s="31"/>
      <c r="D156" s="64"/>
      <c r="E156" s="33"/>
      <c r="F156" s="285"/>
      <c r="G156" s="254"/>
      <c r="H156" s="254"/>
      <c r="I156" s="305"/>
      <c r="J156" s="296"/>
    </row>
    <row r="157" spans="1:11" ht="25.5">
      <c r="A157" s="65" t="s">
        <v>230</v>
      </c>
      <c r="B157" s="35" t="s">
        <v>106</v>
      </c>
      <c r="C157" s="36" t="s">
        <v>16</v>
      </c>
      <c r="D157" s="63">
        <v>1</v>
      </c>
      <c r="E157" s="38"/>
      <c r="F157" s="277">
        <f>D157*E157</f>
        <v>0</v>
      </c>
      <c r="G157" s="246"/>
      <c r="H157" s="246"/>
      <c r="I157" s="305"/>
      <c r="J157" s="296"/>
    </row>
    <row r="158" spans="1:11">
      <c r="A158" s="29"/>
      <c r="B158" s="61"/>
      <c r="C158" s="31"/>
      <c r="D158" s="69"/>
      <c r="E158" s="33"/>
      <c r="F158" s="284"/>
      <c r="G158" s="244"/>
      <c r="H158" s="244"/>
      <c r="I158" s="305"/>
      <c r="J158" s="296"/>
    </row>
    <row r="159" spans="1:11">
      <c r="A159" s="29"/>
      <c r="B159" s="61"/>
      <c r="C159" s="31"/>
      <c r="D159" s="62"/>
      <c r="E159" s="33"/>
      <c r="F159" s="284"/>
      <c r="G159" s="244"/>
      <c r="H159" s="244"/>
      <c r="I159" s="300"/>
      <c r="J159" s="293"/>
    </row>
    <row r="160" spans="1:11">
      <c r="A160" s="70"/>
      <c r="B160" s="71"/>
      <c r="C160" s="72"/>
      <c r="D160" s="115"/>
      <c r="E160" s="74"/>
      <c r="F160" s="287"/>
      <c r="G160" s="244"/>
      <c r="H160" s="244"/>
      <c r="I160" s="300"/>
      <c r="J160" s="293"/>
    </row>
    <row r="161" spans="1:11" ht="15.75" thickBot="1">
      <c r="A161" s="48" t="s">
        <v>107</v>
      </c>
      <c r="B161" s="49"/>
      <c r="C161" s="49"/>
      <c r="D161" s="49"/>
      <c r="E161" s="50"/>
      <c r="F161" s="271">
        <f>SUM(F153:F157)</f>
        <v>31565820</v>
      </c>
      <c r="G161" s="253"/>
      <c r="H161" s="253"/>
      <c r="I161" s="51">
        <f t="shared" ref="I161:J161" si="5">SUM(I153:I157)</f>
        <v>24281400</v>
      </c>
      <c r="J161" s="271">
        <f t="shared" si="5"/>
        <v>7284420</v>
      </c>
      <c r="K161" s="213">
        <f>SUM(I161:J161)</f>
        <v>31565820</v>
      </c>
    </row>
    <row r="162" spans="1:11" ht="23.25">
      <c r="A162" s="10" t="s">
        <v>8</v>
      </c>
      <c r="B162" s="52"/>
      <c r="C162" s="52"/>
      <c r="D162" s="53"/>
      <c r="E162" s="13" t="s">
        <v>9</v>
      </c>
      <c r="F162" s="281">
        <f>F146+1</f>
        <v>7</v>
      </c>
      <c r="G162" s="249"/>
      <c r="H162" s="249"/>
      <c r="I162" s="300"/>
      <c r="J162" s="293"/>
    </row>
    <row r="163" spans="1:11">
      <c r="A163" s="102"/>
      <c r="B163" s="103"/>
      <c r="C163" s="103"/>
      <c r="D163" s="116"/>
      <c r="E163" s="105"/>
      <c r="F163" s="291"/>
      <c r="G163" s="257"/>
      <c r="H163" s="257"/>
      <c r="I163" s="300"/>
      <c r="J163" s="293"/>
    </row>
    <row r="164" spans="1:11" ht="15.75">
      <c r="A164" s="54" t="s">
        <v>108</v>
      </c>
      <c r="B164" s="55"/>
      <c r="C164" s="55"/>
      <c r="D164" s="56"/>
      <c r="E164" s="57">
        <f>$E$3</f>
        <v>0</v>
      </c>
      <c r="F164" s="282"/>
      <c r="G164" s="250"/>
      <c r="H164" s="250"/>
      <c r="I164" s="300"/>
      <c r="J164" s="293"/>
    </row>
    <row r="165" spans="1:11" ht="18">
      <c r="A165" s="81"/>
      <c r="B165" s="82"/>
      <c r="C165" s="82"/>
      <c r="D165" s="117"/>
      <c r="E165" s="21"/>
      <c r="F165" s="283"/>
      <c r="G165" s="250"/>
      <c r="H165" s="250"/>
      <c r="I165" s="300"/>
      <c r="J165" s="293"/>
    </row>
    <row r="166" spans="1:11">
      <c r="A166" s="22" t="str">
        <f>A4</f>
        <v xml:space="preserve">Magege Kanushu Road </v>
      </c>
      <c r="B166" s="23"/>
      <c r="C166" s="23"/>
      <c r="D166" s="59"/>
      <c r="E166" s="24" t="str">
        <f>$E$5</f>
        <v>Rate (UGX)</v>
      </c>
      <c r="F166" s="274"/>
      <c r="G166" s="152"/>
      <c r="H166" s="152"/>
      <c r="I166" s="300"/>
      <c r="J166" s="293"/>
    </row>
    <row r="167" spans="1:11">
      <c r="A167" s="118" t="s">
        <v>109</v>
      </c>
      <c r="B167" s="119" t="s">
        <v>110</v>
      </c>
      <c r="C167" s="120"/>
      <c r="D167" s="121"/>
      <c r="E167" s="122"/>
      <c r="F167" s="292" t="s">
        <v>111</v>
      </c>
      <c r="G167" s="251"/>
      <c r="H167" s="251"/>
      <c r="I167" s="300"/>
      <c r="J167" s="293"/>
    </row>
    <row r="168" spans="1:11">
      <c r="A168" s="123">
        <v>1</v>
      </c>
      <c r="B168" s="124" t="s">
        <v>112</v>
      </c>
      <c r="C168" s="125"/>
      <c r="D168" s="125"/>
      <c r="E168" s="126"/>
      <c r="F168" s="264">
        <f>F12</f>
        <v>19150267.5</v>
      </c>
      <c r="G168" s="253"/>
      <c r="H168" s="253"/>
      <c r="I168" s="268">
        <f t="shared" ref="I168:J168" si="6">I12</f>
        <v>14730975</v>
      </c>
      <c r="J168" s="264">
        <f t="shared" si="6"/>
        <v>4419292.5</v>
      </c>
      <c r="K168" s="213">
        <f>SUM(I168:J168)</f>
        <v>19150267.5</v>
      </c>
    </row>
    <row r="169" spans="1:11">
      <c r="A169" s="127">
        <v>2</v>
      </c>
      <c r="B169" s="128" t="s">
        <v>113</v>
      </c>
      <c r="C169" s="129"/>
      <c r="D169" s="129"/>
      <c r="E169" s="130"/>
      <c r="F169" s="265">
        <f>F29</f>
        <v>4779450</v>
      </c>
      <c r="G169" s="253"/>
      <c r="H169" s="253"/>
      <c r="I169" s="269">
        <f t="shared" ref="I169:J169" si="7">I29</f>
        <v>3676500</v>
      </c>
      <c r="J169" s="265">
        <f t="shared" si="7"/>
        <v>1102950</v>
      </c>
      <c r="K169" s="213">
        <f t="shared" ref="K169:K173" si="8">SUM(I169:J169)</f>
        <v>4779450</v>
      </c>
    </row>
    <row r="170" spans="1:11">
      <c r="A170" s="127">
        <v>3</v>
      </c>
      <c r="B170" s="128" t="s">
        <v>114</v>
      </c>
      <c r="C170" s="129"/>
      <c r="D170" s="129"/>
      <c r="E170" s="130"/>
      <c r="F170" s="265">
        <f>F60</f>
        <v>25765285</v>
      </c>
      <c r="G170" s="253"/>
      <c r="H170" s="253"/>
      <c r="I170" s="269">
        <f t="shared" ref="I170:J170" si="9">I60</f>
        <v>19819450</v>
      </c>
      <c r="J170" s="265">
        <f t="shared" si="9"/>
        <v>5945835</v>
      </c>
      <c r="K170" s="213">
        <f t="shared" si="8"/>
        <v>25765285</v>
      </c>
    </row>
    <row r="171" spans="1:11">
      <c r="A171" s="127">
        <v>4</v>
      </c>
      <c r="B171" s="128" t="s">
        <v>115</v>
      </c>
      <c r="C171" s="129"/>
      <c r="D171" s="129"/>
      <c r="E171" s="130"/>
      <c r="F171" s="265">
        <f>F145</f>
        <v>5816395</v>
      </c>
      <c r="G171" s="253"/>
      <c r="H171" s="253"/>
      <c r="I171" s="269">
        <f t="shared" ref="I171:J171" si="10">I145</f>
        <v>4474150</v>
      </c>
      <c r="J171" s="265">
        <f t="shared" si="10"/>
        <v>1342245</v>
      </c>
      <c r="K171" s="213">
        <f t="shared" si="8"/>
        <v>5816395</v>
      </c>
    </row>
    <row r="172" spans="1:11">
      <c r="A172" s="131">
        <v>5</v>
      </c>
      <c r="B172" s="132" t="s">
        <v>116</v>
      </c>
      <c r="C172" s="133"/>
      <c r="D172" s="133"/>
      <c r="E172" s="134"/>
      <c r="F172" s="266">
        <f>F161</f>
        <v>31565820</v>
      </c>
      <c r="G172" s="253"/>
      <c r="H172" s="253"/>
      <c r="I172" s="270">
        <f t="shared" ref="I172:J172" si="11">I161</f>
        <v>24281400</v>
      </c>
      <c r="J172" s="266">
        <f t="shared" si="11"/>
        <v>7284420</v>
      </c>
      <c r="K172" s="213">
        <f t="shared" si="8"/>
        <v>31565820</v>
      </c>
    </row>
    <row r="173" spans="1:11" ht="16.5" thickBot="1">
      <c r="A173" s="135" t="s">
        <v>117</v>
      </c>
      <c r="B173" s="136"/>
      <c r="C173" s="136"/>
      <c r="D173" s="136"/>
      <c r="E173" s="137"/>
      <c r="F173" s="267">
        <f>SUM(F168:F172)</f>
        <v>87077217.5</v>
      </c>
      <c r="G173" s="263"/>
      <c r="H173" s="263"/>
      <c r="I173" s="138">
        <f t="shared" ref="I173:J173" si="12">SUM(I168:I172)</f>
        <v>66982475</v>
      </c>
      <c r="J173" s="267">
        <f t="shared" si="12"/>
        <v>20094742.5</v>
      </c>
      <c r="K173" s="213">
        <f t="shared" si="8"/>
        <v>87077217.5</v>
      </c>
    </row>
    <row r="174" spans="1:11">
      <c r="A174" s="139" t="s">
        <v>11</v>
      </c>
      <c r="B174" s="140" t="s">
        <v>110</v>
      </c>
      <c r="C174" s="141" t="s">
        <v>12</v>
      </c>
      <c r="D174" s="142" t="s">
        <v>118</v>
      </c>
      <c r="E174" s="143" t="s">
        <v>119</v>
      </c>
      <c r="F174" s="141" t="s">
        <v>111</v>
      </c>
      <c r="G174" s="251"/>
      <c r="H174" s="251"/>
      <c r="I174" s="301"/>
      <c r="J174" s="293"/>
    </row>
    <row r="175" spans="1:11">
      <c r="A175" s="144">
        <v>6</v>
      </c>
      <c r="B175" s="145" t="s">
        <v>120</v>
      </c>
      <c r="C175" s="146"/>
      <c r="D175" s="62"/>
      <c r="E175" s="147"/>
      <c r="F175" s="284"/>
      <c r="G175" s="244"/>
      <c r="H175" s="244"/>
      <c r="I175" s="243">
        <f>F175</f>
        <v>0</v>
      </c>
      <c r="J175" s="293"/>
    </row>
    <row r="176" spans="1:11">
      <c r="A176" s="112">
        <v>6.1</v>
      </c>
      <c r="B176" s="148" t="s">
        <v>121</v>
      </c>
      <c r="C176" s="149" t="s">
        <v>16</v>
      </c>
      <c r="D176" s="37">
        <v>1</v>
      </c>
      <c r="E176" s="38"/>
      <c r="F176" s="277">
        <f>D176*E176</f>
        <v>0</v>
      </c>
      <c r="G176" s="246"/>
      <c r="H176" s="246"/>
      <c r="I176" s="243">
        <f t="shared" ref="I176:I186" si="13">F176</f>
        <v>0</v>
      </c>
      <c r="J176" s="293"/>
    </row>
    <row r="177" spans="1:11">
      <c r="A177" s="112">
        <v>6.2</v>
      </c>
      <c r="B177" s="148" t="s">
        <v>122</v>
      </c>
      <c r="C177" s="149" t="s">
        <v>16</v>
      </c>
      <c r="D177" s="37">
        <v>1</v>
      </c>
      <c r="E177" s="38">
        <v>500000</v>
      </c>
      <c r="F177" s="277">
        <f>D177*E177</f>
        <v>500000</v>
      </c>
      <c r="G177" s="246"/>
      <c r="H177" s="246"/>
      <c r="I177" s="243">
        <f t="shared" si="13"/>
        <v>500000</v>
      </c>
      <c r="J177" s="298"/>
    </row>
    <row r="178" spans="1:11">
      <c r="A178" s="112">
        <v>6.3</v>
      </c>
      <c r="B178" s="148" t="s">
        <v>123</v>
      </c>
      <c r="C178" s="149" t="s">
        <v>16</v>
      </c>
      <c r="D178" s="37"/>
      <c r="E178" s="41">
        <v>500000</v>
      </c>
      <c r="F178" s="277"/>
      <c r="G178" s="246"/>
      <c r="H178" s="246"/>
      <c r="I178" s="243">
        <f t="shared" si="13"/>
        <v>0</v>
      </c>
      <c r="J178" s="298"/>
    </row>
    <row r="179" spans="1:11">
      <c r="A179" s="112">
        <v>6.4</v>
      </c>
      <c r="B179" s="148" t="s">
        <v>4</v>
      </c>
      <c r="C179" s="149" t="s">
        <v>26</v>
      </c>
      <c r="D179" s="37">
        <v>2</v>
      </c>
      <c r="E179" s="38">
        <v>300000</v>
      </c>
      <c r="F179" s="277">
        <f t="shared" ref="F179:F184" si="14">D179*E179</f>
        <v>600000</v>
      </c>
      <c r="G179" s="246"/>
      <c r="H179" s="246"/>
      <c r="I179" s="243">
        <f t="shared" si="13"/>
        <v>600000</v>
      </c>
      <c r="J179" s="298"/>
    </row>
    <row r="180" spans="1:11">
      <c r="A180" s="112">
        <v>6.5</v>
      </c>
      <c r="B180" s="148" t="s">
        <v>124</v>
      </c>
      <c r="C180" s="149" t="s">
        <v>16</v>
      </c>
      <c r="D180" s="37">
        <v>1</v>
      </c>
      <c r="E180" s="38"/>
      <c r="F180" s="277">
        <f t="shared" si="14"/>
        <v>0</v>
      </c>
      <c r="G180" s="246"/>
      <c r="H180" s="246"/>
      <c r="I180" s="243">
        <f t="shared" si="13"/>
        <v>0</v>
      </c>
      <c r="J180" s="298"/>
    </row>
    <row r="181" spans="1:11">
      <c r="A181" s="112">
        <v>6.6</v>
      </c>
      <c r="B181" s="148" t="s">
        <v>125</v>
      </c>
      <c r="C181" s="149" t="s">
        <v>16</v>
      </c>
      <c r="D181" s="37"/>
      <c r="E181" s="150">
        <v>1500000</v>
      </c>
      <c r="F181" s="277"/>
      <c r="G181" s="246"/>
      <c r="H181" s="246"/>
      <c r="I181" s="243">
        <f t="shared" si="13"/>
        <v>0</v>
      </c>
      <c r="J181" s="298"/>
    </row>
    <row r="182" spans="1:11">
      <c r="A182" s="112">
        <v>6.7</v>
      </c>
      <c r="B182" s="148" t="s">
        <v>126</v>
      </c>
      <c r="C182" s="149" t="s">
        <v>16</v>
      </c>
      <c r="D182" s="37"/>
      <c r="E182" s="150">
        <v>500000</v>
      </c>
      <c r="F182" s="277"/>
      <c r="G182" s="246"/>
      <c r="H182" s="246"/>
      <c r="I182" s="243">
        <f t="shared" si="13"/>
        <v>0</v>
      </c>
      <c r="J182" s="298"/>
    </row>
    <row r="183" spans="1:11">
      <c r="A183" s="112">
        <v>6.8</v>
      </c>
      <c r="B183" s="148" t="s">
        <v>127</v>
      </c>
      <c r="C183" s="149" t="s">
        <v>26</v>
      </c>
      <c r="D183" s="37">
        <v>2</v>
      </c>
      <c r="E183" s="38">
        <v>500000</v>
      </c>
      <c r="F183" s="277">
        <f t="shared" si="14"/>
        <v>1000000</v>
      </c>
      <c r="G183" s="246"/>
      <c r="H183" s="246"/>
      <c r="I183" s="243">
        <f t="shared" si="13"/>
        <v>1000000</v>
      </c>
      <c r="J183" s="298"/>
    </row>
    <row r="184" spans="1:11" ht="51">
      <c r="A184" s="112">
        <v>6.9</v>
      </c>
      <c r="B184" s="151" t="s">
        <v>128</v>
      </c>
      <c r="C184" s="149" t="s">
        <v>26</v>
      </c>
      <c r="D184" s="237">
        <v>50</v>
      </c>
      <c r="E184" s="38">
        <v>15000</v>
      </c>
      <c r="F184" s="277">
        <f t="shared" si="14"/>
        <v>750000</v>
      </c>
      <c r="G184" s="246"/>
      <c r="H184" s="246"/>
      <c r="I184" s="243">
        <f t="shared" si="13"/>
        <v>750000</v>
      </c>
      <c r="J184" s="298"/>
    </row>
    <row r="185" spans="1:11">
      <c r="A185" s="98"/>
      <c r="B185" s="152"/>
      <c r="C185" s="153"/>
      <c r="D185" s="32"/>
      <c r="E185" s="147"/>
      <c r="F185" s="284"/>
      <c r="G185" s="244"/>
      <c r="H185" s="244"/>
      <c r="I185" s="243">
        <f t="shared" si="13"/>
        <v>0</v>
      </c>
      <c r="J185" s="299"/>
    </row>
    <row r="186" spans="1:11" ht="15.75" thickBot="1">
      <c r="A186" s="154"/>
      <c r="B186" s="155" t="s">
        <v>130</v>
      </c>
      <c r="C186" s="155"/>
      <c r="D186" s="155"/>
      <c r="E186" s="156"/>
      <c r="F186" s="259">
        <f>SUM(F176:F184)</f>
        <v>2850000</v>
      </c>
      <c r="G186" s="247"/>
      <c r="H186" s="247"/>
      <c r="I186" s="258">
        <f t="shared" si="13"/>
        <v>2850000</v>
      </c>
      <c r="J186" s="259"/>
    </row>
    <row r="187" spans="1:11">
      <c r="A187" s="157"/>
      <c r="B187" s="158" t="s">
        <v>131</v>
      </c>
      <c r="C187" s="158"/>
      <c r="D187" s="158"/>
      <c r="E187" s="159"/>
      <c r="F187" s="260">
        <f>F173+F186</f>
        <v>89927217.5</v>
      </c>
      <c r="G187" s="247"/>
      <c r="H187" s="247"/>
      <c r="I187" s="160">
        <f t="shared" ref="I187:J187" si="15">I173+I186</f>
        <v>69832475</v>
      </c>
      <c r="J187" s="260">
        <f t="shared" si="15"/>
        <v>20094742.5</v>
      </c>
    </row>
    <row r="188" spans="1:11">
      <c r="A188" s="22"/>
      <c r="B188" s="161" t="s">
        <v>132</v>
      </c>
      <c r="C188" s="161"/>
      <c r="D188" s="161"/>
      <c r="E188" s="162"/>
      <c r="F188" s="261">
        <f>F187*0.05</f>
        <v>4496360.875</v>
      </c>
      <c r="G188" s="244"/>
      <c r="H188" s="244"/>
      <c r="I188" s="163">
        <f t="shared" ref="I188:J188" si="16">I187*0.05</f>
        <v>3491623.75</v>
      </c>
      <c r="J188" s="261">
        <f t="shared" si="16"/>
        <v>1004737.125</v>
      </c>
    </row>
    <row r="189" spans="1:11">
      <c r="A189" s="22"/>
      <c r="B189" s="161"/>
      <c r="C189" s="161"/>
      <c r="D189" s="161"/>
      <c r="E189" s="162"/>
      <c r="F189" s="262"/>
      <c r="G189" s="248"/>
      <c r="H189" s="248"/>
      <c r="I189" s="164"/>
      <c r="J189" s="262"/>
    </row>
    <row r="190" spans="1:11" ht="15.75" thickBot="1">
      <c r="A190" s="165"/>
      <c r="B190" s="166" t="s">
        <v>133</v>
      </c>
      <c r="C190" s="166"/>
      <c r="D190" s="166"/>
      <c r="E190" s="167"/>
      <c r="F190" s="259">
        <f>F187+F188</f>
        <v>94423578.375</v>
      </c>
      <c r="G190" s="247"/>
      <c r="H190" s="247"/>
      <c r="I190" s="307">
        <f t="shared" ref="I190:J190" si="17">I187+I188</f>
        <v>73324098.75</v>
      </c>
      <c r="J190" s="308">
        <f t="shared" si="17"/>
        <v>21099479.625</v>
      </c>
      <c r="K190" s="213">
        <f>SUM(I190:J190)</f>
        <v>94423578.375</v>
      </c>
    </row>
    <row r="191" spans="1:11">
      <c r="A191" s="5"/>
      <c r="B191" s="5"/>
      <c r="C191" s="5"/>
      <c r="D191" s="6"/>
      <c r="E191" s="4"/>
      <c r="F191" s="5"/>
      <c r="G191" s="5"/>
      <c r="H191" s="5"/>
      <c r="I191" s="2"/>
    </row>
    <row r="192" spans="1:11">
      <c r="A192" s="2"/>
      <c r="B192" s="2"/>
      <c r="C192" s="2"/>
      <c r="D192" s="3"/>
      <c r="E192" s="4"/>
      <c r="F192" s="2">
        <f>J190*4/I190*100</f>
        <v>115.10256510312715</v>
      </c>
      <c r="G192" s="2"/>
      <c r="H192" s="2"/>
      <c r="I192" s="2"/>
    </row>
    <row r="204" spans="8:10">
      <c r="I204" t="s">
        <v>395</v>
      </c>
      <c r="J204" t="s">
        <v>396</v>
      </c>
    </row>
    <row r="206" spans="8:10">
      <c r="H206" t="s">
        <v>397</v>
      </c>
      <c r="I206">
        <v>85</v>
      </c>
      <c r="J206">
        <v>76</v>
      </c>
    </row>
    <row r="207" spans="8:10">
      <c r="H207" t="s">
        <v>398</v>
      </c>
      <c r="I207">
        <v>79</v>
      </c>
      <c r="J207">
        <v>100</v>
      </c>
    </row>
    <row r="208" spans="8:10">
      <c r="I208" s="312">
        <f>I206*0.7+I207*0.3</f>
        <v>83.199999999999989</v>
      </c>
      <c r="J208" s="312">
        <f>J206*0.7+J207*0.3</f>
        <v>83.199999999999989</v>
      </c>
    </row>
  </sheetData>
  <pageMargins left="0.4" right="0.16" top="0.45" bottom="0.36" header="0.3" footer="0.3"/>
  <pageSetup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F46"/>
  <sheetViews>
    <sheetView workbookViewId="0">
      <selection activeCell="F43" sqref="F43"/>
    </sheetView>
  </sheetViews>
  <sheetFormatPr defaultColWidth="8.85546875" defaultRowHeight="15"/>
  <cols>
    <col min="1" max="1" width="26.42578125" customWidth="1"/>
    <col min="2" max="2" width="9.42578125" bestFit="1" customWidth="1"/>
    <col min="3" max="3" width="13.7109375" customWidth="1"/>
    <col min="4" max="4" width="12.7109375" bestFit="1" customWidth="1"/>
    <col min="5" max="5" width="13.140625" customWidth="1"/>
    <col min="6" max="6" width="13.28515625" customWidth="1"/>
  </cols>
  <sheetData>
    <row r="1" spans="1:6">
      <c r="A1" s="171" t="s">
        <v>192</v>
      </c>
      <c r="B1" s="172"/>
      <c r="C1" s="172"/>
      <c r="D1" s="172"/>
    </row>
    <row r="2" spans="1:6">
      <c r="A2" s="173" t="s">
        <v>145</v>
      </c>
      <c r="B2" s="172"/>
      <c r="C2" s="172"/>
      <c r="D2" s="172"/>
    </row>
    <row r="3" spans="1:6">
      <c r="A3" s="172" t="s">
        <v>134</v>
      </c>
      <c r="B3" s="172" t="s">
        <v>1</v>
      </c>
      <c r="C3" s="172" t="s">
        <v>135</v>
      </c>
      <c r="D3" s="172" t="s">
        <v>136</v>
      </c>
    </row>
    <row r="4" spans="1:6">
      <c r="A4" s="172" t="s">
        <v>152</v>
      </c>
      <c r="B4" s="172">
        <v>1</v>
      </c>
      <c r="C4" s="172"/>
      <c r="D4" s="174">
        <v>2000000</v>
      </c>
    </row>
    <row r="5" spans="1:6">
      <c r="A5" s="172" t="s">
        <v>392</v>
      </c>
      <c r="B5" s="1">
        <v>1</v>
      </c>
      <c r="C5" s="1">
        <v>1000000</v>
      </c>
      <c r="D5" s="1">
        <f>B5*C5</f>
        <v>1000000</v>
      </c>
      <c r="E5" s="7"/>
      <c r="F5" s="7"/>
    </row>
    <row r="6" spans="1:6">
      <c r="A6" s="172" t="s">
        <v>137</v>
      </c>
      <c r="B6" s="1">
        <v>50</v>
      </c>
      <c r="C6" s="1">
        <v>3300</v>
      </c>
      <c r="D6" s="1">
        <f>C6*B6*B5</f>
        <v>165000</v>
      </c>
      <c r="E6" s="7"/>
      <c r="F6" s="7"/>
    </row>
    <row r="7" spans="1:6">
      <c r="A7" s="172" t="s">
        <v>138</v>
      </c>
      <c r="B7" s="1">
        <v>1</v>
      </c>
      <c r="C7" s="1">
        <v>100000</v>
      </c>
      <c r="D7" s="1">
        <f>B7*C7*B5</f>
        <v>100000</v>
      </c>
      <c r="E7" s="7"/>
      <c r="F7" s="7"/>
    </row>
    <row r="8" spans="1:6">
      <c r="A8" s="172" t="s">
        <v>139</v>
      </c>
      <c r="B8" s="1">
        <v>1</v>
      </c>
      <c r="C8" s="1">
        <v>50000</v>
      </c>
      <c r="D8" s="1">
        <f>B8*C8*B5</f>
        <v>50000</v>
      </c>
      <c r="E8" s="7"/>
      <c r="F8" s="7"/>
    </row>
    <row r="9" spans="1:6">
      <c r="A9" s="172" t="s">
        <v>258</v>
      </c>
      <c r="B9" s="1"/>
      <c r="C9" s="314">
        <v>7.4999999999999997E-2</v>
      </c>
      <c r="D9" s="1">
        <f>SUM(D4:D8)*C9</f>
        <v>248625</v>
      </c>
      <c r="E9" s="7"/>
      <c r="F9" s="7"/>
    </row>
    <row r="10" spans="1:6">
      <c r="A10" s="172" t="s">
        <v>136</v>
      </c>
      <c r="B10" s="1"/>
      <c r="C10" s="1"/>
      <c r="D10" s="1">
        <f>SUM(D4:D9)</f>
        <v>3563625</v>
      </c>
      <c r="E10" s="7"/>
      <c r="F10" s="7"/>
    </row>
    <row r="11" spans="1:6">
      <c r="A11" s="172" t="s">
        <v>311</v>
      </c>
      <c r="B11" s="313">
        <v>0.3</v>
      </c>
      <c r="C11" s="1">
        <f>D10</f>
        <v>3563625</v>
      </c>
      <c r="D11" s="1">
        <f>B11*C11</f>
        <v>1069087.5</v>
      </c>
      <c r="E11" s="7"/>
      <c r="F11" s="7"/>
    </row>
    <row r="12" spans="1:6">
      <c r="A12" s="172" t="s">
        <v>135</v>
      </c>
      <c r="B12" s="172"/>
      <c r="C12" s="172"/>
      <c r="D12" s="175">
        <f>D10+D11</f>
        <v>4632712.5</v>
      </c>
    </row>
    <row r="13" spans="1:6">
      <c r="A13" s="173" t="s">
        <v>193</v>
      </c>
      <c r="B13" s="172"/>
      <c r="C13" s="172"/>
      <c r="D13" s="172"/>
    </row>
    <row r="14" spans="1:6">
      <c r="A14" s="238" t="s">
        <v>140</v>
      </c>
      <c r="B14" s="1"/>
      <c r="C14" s="1"/>
      <c r="D14" s="1"/>
      <c r="E14" s="7"/>
    </row>
    <row r="15" spans="1:6">
      <c r="A15" s="172" t="s">
        <v>141</v>
      </c>
      <c r="B15" s="1">
        <v>3</v>
      </c>
      <c r="C15" s="1">
        <v>1000000</v>
      </c>
      <c r="D15" s="1">
        <f>B15*C15</f>
        <v>3000000</v>
      </c>
      <c r="E15" s="7"/>
    </row>
    <row r="16" spans="1:6">
      <c r="A16" s="172" t="s">
        <v>137</v>
      </c>
      <c r="B16" s="1">
        <v>150</v>
      </c>
      <c r="C16" s="1">
        <v>3300</v>
      </c>
      <c r="D16" s="1">
        <f t="shared" ref="D16:D33" si="0">B16*C16</f>
        <v>495000</v>
      </c>
      <c r="E16" s="7"/>
    </row>
    <row r="17" spans="1:5">
      <c r="A17" s="172" t="s">
        <v>143</v>
      </c>
      <c r="B17" s="1">
        <v>3</v>
      </c>
      <c r="C17" s="1">
        <v>100000</v>
      </c>
      <c r="D17" s="1">
        <f t="shared" si="0"/>
        <v>300000</v>
      </c>
      <c r="E17" s="7"/>
    </row>
    <row r="18" spans="1:5">
      <c r="A18" s="172" t="s">
        <v>258</v>
      </c>
      <c r="B18" s="1"/>
      <c r="C18" s="314">
        <v>7.4999999999999997E-2</v>
      </c>
      <c r="D18" s="1">
        <f>SUM(D15:D17)*C18</f>
        <v>284625</v>
      </c>
      <c r="E18" s="7"/>
    </row>
    <row r="19" spans="1:5">
      <c r="A19" s="172" t="s">
        <v>136</v>
      </c>
      <c r="B19" s="1"/>
      <c r="C19" s="1"/>
      <c r="D19" s="1">
        <f>SUM(D15:D17)</f>
        <v>3795000</v>
      </c>
      <c r="E19" s="7"/>
    </row>
    <row r="20" spans="1:5">
      <c r="A20" s="172" t="s">
        <v>311</v>
      </c>
      <c r="B20" s="1"/>
      <c r="C20" s="314">
        <v>0.3</v>
      </c>
      <c r="D20" s="1">
        <f>D19*C20</f>
        <v>1138500</v>
      </c>
      <c r="E20" s="7"/>
    </row>
    <row r="21" spans="1:5">
      <c r="A21" s="172" t="s">
        <v>135</v>
      </c>
      <c r="B21" s="1"/>
      <c r="C21" s="1"/>
      <c r="D21" s="1">
        <f>SUM(D19:D20)</f>
        <v>4933500</v>
      </c>
      <c r="E21" s="7"/>
    </row>
    <row r="22" spans="1:5">
      <c r="A22" s="238"/>
      <c r="B22" s="1"/>
      <c r="C22" s="1"/>
      <c r="D22" s="1"/>
      <c r="E22" s="7"/>
    </row>
    <row r="23" spans="1:5">
      <c r="A23" s="172" t="s">
        <v>142</v>
      </c>
      <c r="B23" s="1">
        <v>3</v>
      </c>
      <c r="C23" s="1">
        <v>500000</v>
      </c>
      <c r="D23" s="1">
        <f t="shared" si="0"/>
        <v>1500000</v>
      </c>
      <c r="E23" s="7"/>
    </row>
    <row r="24" spans="1:5">
      <c r="A24" s="172" t="s">
        <v>137</v>
      </c>
      <c r="B24" s="1">
        <v>120</v>
      </c>
      <c r="C24" s="1">
        <v>3300</v>
      </c>
      <c r="D24" s="1">
        <f t="shared" si="0"/>
        <v>396000</v>
      </c>
      <c r="E24" s="7"/>
    </row>
    <row r="25" spans="1:5">
      <c r="A25" s="172" t="s">
        <v>143</v>
      </c>
      <c r="B25" s="1">
        <v>3</v>
      </c>
      <c r="C25" s="1">
        <v>100000</v>
      </c>
      <c r="D25" s="1">
        <f>B25*C25</f>
        <v>300000</v>
      </c>
      <c r="E25" s="7"/>
    </row>
    <row r="26" spans="1:5">
      <c r="A26" s="172" t="s">
        <v>258</v>
      </c>
      <c r="B26" s="1"/>
      <c r="C26" s="314">
        <v>7.4999999999999997E-2</v>
      </c>
      <c r="D26" s="1">
        <f>SUM(D22:D25)*C26</f>
        <v>164700</v>
      </c>
      <c r="E26" s="7"/>
    </row>
    <row r="27" spans="1:5">
      <c r="A27" s="172" t="s">
        <v>136</v>
      </c>
      <c r="B27" s="1"/>
      <c r="C27" s="1"/>
      <c r="D27" s="1">
        <f>SUM(D23:D26)</f>
        <v>2360700</v>
      </c>
      <c r="E27" s="7"/>
    </row>
    <row r="28" spans="1:5">
      <c r="A28" s="172" t="s">
        <v>311</v>
      </c>
      <c r="B28" s="1"/>
      <c r="C28" s="315">
        <v>0.3</v>
      </c>
      <c r="D28" s="1">
        <f>D27*C28</f>
        <v>708210</v>
      </c>
      <c r="E28" s="7"/>
    </row>
    <row r="29" spans="1:5">
      <c r="A29" s="199" t="s">
        <v>135</v>
      </c>
      <c r="D29" s="1">
        <f>SUM(D27:D28)</f>
        <v>3068910</v>
      </c>
      <c r="E29" s="7"/>
    </row>
    <row r="30" spans="1:5">
      <c r="A30" s="238" t="s">
        <v>260</v>
      </c>
      <c r="B30" s="1"/>
      <c r="C30" s="1"/>
      <c r="D30" s="1"/>
      <c r="E30" s="7"/>
    </row>
    <row r="31" spans="1:5">
      <c r="A31" s="172" t="s">
        <v>144</v>
      </c>
      <c r="B31" s="1">
        <v>7</v>
      </c>
      <c r="C31" s="1">
        <v>500000</v>
      </c>
      <c r="D31" s="1">
        <f t="shared" si="0"/>
        <v>3500000</v>
      </c>
      <c r="E31" s="7"/>
    </row>
    <row r="32" spans="1:5">
      <c r="A32" s="172" t="s">
        <v>137</v>
      </c>
      <c r="B32" s="1">
        <v>140</v>
      </c>
      <c r="C32" s="1">
        <v>3300</v>
      </c>
      <c r="D32" s="1">
        <f t="shared" si="0"/>
        <v>462000</v>
      </c>
      <c r="E32" s="7"/>
    </row>
    <row r="33" spans="1:6">
      <c r="A33" s="172" t="s">
        <v>143</v>
      </c>
      <c r="B33" s="1">
        <v>7</v>
      </c>
      <c r="C33" s="1">
        <v>100000</v>
      </c>
      <c r="D33" s="1">
        <f t="shared" si="0"/>
        <v>700000</v>
      </c>
      <c r="E33" s="7"/>
    </row>
    <row r="34" spans="1:6">
      <c r="A34" s="172" t="s">
        <v>259</v>
      </c>
      <c r="B34" s="1"/>
      <c r="C34" s="315">
        <v>7.4999999999999997E-2</v>
      </c>
      <c r="D34" s="1">
        <f>SUM(D30:D33)*C34</f>
        <v>349650</v>
      </c>
      <c r="E34" s="7"/>
    </row>
    <row r="35" spans="1:6">
      <c r="A35" s="172" t="s">
        <v>136</v>
      </c>
      <c r="B35" s="1"/>
      <c r="C35" s="1"/>
      <c r="D35" s="1">
        <f>SUM(D31:D34)</f>
        <v>5011650</v>
      </c>
      <c r="E35" s="7"/>
    </row>
    <row r="36" spans="1:6">
      <c r="A36" s="172" t="s">
        <v>311</v>
      </c>
      <c r="B36" s="1"/>
      <c r="C36" s="315">
        <v>0.3</v>
      </c>
      <c r="D36" s="1">
        <f>D35*C36</f>
        <v>1503495</v>
      </c>
      <c r="E36" s="7"/>
    </row>
    <row r="37" spans="1:6">
      <c r="A37" s="172" t="s">
        <v>135</v>
      </c>
      <c r="B37" s="1"/>
      <c r="C37" s="1"/>
      <c r="D37" s="1">
        <f>SUM(D35:D36)</f>
        <v>6515145</v>
      </c>
      <c r="E37" s="7" t="s">
        <v>266</v>
      </c>
    </row>
    <row r="38" spans="1:6">
      <c r="A38" s="200" t="s">
        <v>261</v>
      </c>
      <c r="B38" s="201"/>
      <c r="C38" s="1"/>
      <c r="D38" s="1">
        <f>D35+D27+D19</f>
        <v>11167350</v>
      </c>
      <c r="E38" s="7">
        <f>D38/7</f>
        <v>1595335.7142857143</v>
      </c>
    </row>
    <row r="39" spans="1:6">
      <c r="A39" s="172" t="s">
        <v>153</v>
      </c>
      <c r="B39" s="1"/>
      <c r="C39" s="1"/>
      <c r="D39" s="1">
        <f>D36+D28+D20</f>
        <v>3350205</v>
      </c>
      <c r="E39" s="7">
        <f t="shared" ref="E39:E40" si="1">D39/7</f>
        <v>478600.71428571426</v>
      </c>
    </row>
    <row r="40" spans="1:6">
      <c r="A40" s="172" t="s">
        <v>135</v>
      </c>
      <c r="B40" s="1"/>
      <c r="C40" s="1"/>
      <c r="D40" s="1">
        <f>D37+D29+D21</f>
        <v>14517555</v>
      </c>
      <c r="E40" s="7">
        <f t="shared" si="1"/>
        <v>2073936.4285714286</v>
      </c>
    </row>
    <row r="41" spans="1:6">
      <c r="A41" s="172"/>
      <c r="B41" s="1"/>
      <c r="C41" s="1"/>
      <c r="D41" s="1"/>
      <c r="E41" s="7"/>
    </row>
    <row r="42" spans="1:6">
      <c r="A42" s="238" t="s">
        <v>265</v>
      </c>
      <c r="B42" s="185"/>
      <c r="C42" s="185"/>
      <c r="D42" s="185">
        <f>D38+D10</f>
        <v>14730975</v>
      </c>
      <c r="E42" s="7"/>
    </row>
    <row r="43" spans="1:6">
      <c r="A43" s="238" t="s">
        <v>311</v>
      </c>
      <c r="B43" s="185"/>
      <c r="C43" s="185"/>
      <c r="D43" s="185">
        <f>D39+D11</f>
        <v>4419292.5</v>
      </c>
      <c r="E43" s="7">
        <f>D42*0.3</f>
        <v>4419292.5</v>
      </c>
      <c r="F43" s="316">
        <f>D42*C36</f>
        <v>4419292.5</v>
      </c>
    </row>
    <row r="44" spans="1:6">
      <c r="A44" s="238"/>
      <c r="B44" s="185"/>
      <c r="C44" s="185"/>
      <c r="D44" s="185">
        <f>D40+D12</f>
        <v>19150267.5</v>
      </c>
      <c r="E44" s="7"/>
    </row>
    <row r="45" spans="1:6">
      <c r="A45" s="172" t="s">
        <v>146</v>
      </c>
      <c r="B45" s="172"/>
      <c r="C45" s="172"/>
      <c r="D45" s="172">
        <v>0</v>
      </c>
    </row>
    <row r="46" spans="1:6">
      <c r="A46" s="172" t="s">
        <v>147</v>
      </c>
      <c r="B46" s="172"/>
      <c r="C46" s="172"/>
      <c r="D46" s="172"/>
    </row>
  </sheetData>
  <pageMargins left="0.52" right="0.22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dimension ref="A1:G37"/>
  <sheetViews>
    <sheetView topLeftCell="A16" workbookViewId="0">
      <selection activeCell="B1" sqref="B1"/>
    </sheetView>
  </sheetViews>
  <sheetFormatPr defaultColWidth="8.85546875" defaultRowHeight="15"/>
  <cols>
    <col min="1" max="1" width="43" customWidth="1"/>
    <col min="2" max="2" width="10.42578125" customWidth="1"/>
    <col min="3" max="3" width="9.42578125" bestFit="1" customWidth="1"/>
    <col min="4" max="4" width="13.28515625" bestFit="1" customWidth="1"/>
    <col min="5" max="5" width="11.42578125" bestFit="1" customWidth="1"/>
  </cols>
  <sheetData>
    <row r="1" spans="1:7">
      <c r="A1" s="176" t="s">
        <v>313</v>
      </c>
      <c r="B1" s="176"/>
      <c r="C1" s="176"/>
      <c r="D1" s="176"/>
      <c r="E1" s="176"/>
    </row>
    <row r="2" spans="1:7">
      <c r="B2" s="176"/>
      <c r="C2" s="176"/>
      <c r="D2" s="176"/>
      <c r="E2" s="176"/>
    </row>
    <row r="3" spans="1:7">
      <c r="A3" s="176" t="s">
        <v>307</v>
      </c>
      <c r="B3" s="168" t="s">
        <v>12</v>
      </c>
      <c r="C3" s="168" t="s">
        <v>1</v>
      </c>
      <c r="D3" s="168" t="s">
        <v>135</v>
      </c>
      <c r="E3" s="168" t="s">
        <v>136</v>
      </c>
    </row>
    <row r="4" spans="1:7">
      <c r="A4" s="168" t="s">
        <v>3</v>
      </c>
      <c r="B4" s="168" t="s">
        <v>312</v>
      </c>
      <c r="C4" s="169">
        <v>1</v>
      </c>
      <c r="D4" s="169">
        <v>500000</v>
      </c>
      <c r="E4" s="169">
        <f>D4*C4</f>
        <v>500000</v>
      </c>
      <c r="F4" s="7"/>
      <c r="G4" s="7"/>
    </row>
    <row r="5" spans="1:7">
      <c r="A5" s="168" t="s">
        <v>149</v>
      </c>
      <c r="B5" s="168"/>
      <c r="C5" s="169">
        <v>1</v>
      </c>
      <c r="D5" s="169">
        <v>550000</v>
      </c>
      <c r="E5" s="169">
        <f>D5*C5</f>
        <v>550000</v>
      </c>
      <c r="F5" s="7"/>
      <c r="G5" s="7"/>
    </row>
    <row r="6" spans="1:7">
      <c r="A6" s="168" t="s">
        <v>150</v>
      </c>
      <c r="B6" s="168"/>
      <c r="C6" s="169">
        <v>1</v>
      </c>
      <c r="D6" s="169">
        <v>100000</v>
      </c>
      <c r="E6" s="169">
        <f>D6*C6</f>
        <v>100000</v>
      </c>
      <c r="F6" s="7"/>
      <c r="G6" s="7"/>
    </row>
    <row r="7" spans="1:7">
      <c r="A7" s="168" t="s">
        <v>139</v>
      </c>
      <c r="B7" s="168"/>
      <c r="C7" s="169">
        <v>1</v>
      </c>
      <c r="D7" s="169">
        <v>5000</v>
      </c>
      <c r="E7" s="169">
        <f>D7*C7</f>
        <v>5000</v>
      </c>
      <c r="F7" s="7"/>
      <c r="G7" s="7"/>
    </row>
    <row r="8" spans="1:7">
      <c r="A8" s="176" t="s">
        <v>259</v>
      </c>
      <c r="B8" s="168"/>
      <c r="C8" s="169"/>
      <c r="D8" s="317">
        <v>7.4999999999999997E-2</v>
      </c>
      <c r="E8" s="169">
        <f>SUM(E4:E7)*D8</f>
        <v>86625</v>
      </c>
      <c r="F8" s="7"/>
      <c r="G8" s="7"/>
    </row>
    <row r="9" spans="1:7">
      <c r="A9" s="168" t="s">
        <v>136</v>
      </c>
      <c r="B9" s="168"/>
      <c r="C9" s="169"/>
      <c r="D9" s="169"/>
      <c r="E9" s="169">
        <f>SUM(E4:E8)</f>
        <v>1241625</v>
      </c>
      <c r="F9" s="7"/>
      <c r="G9" s="7"/>
    </row>
    <row r="10" spans="1:7">
      <c r="A10" s="176" t="s">
        <v>153</v>
      </c>
      <c r="B10" s="168"/>
      <c r="C10" s="317">
        <f>30/100</f>
        <v>0.3</v>
      </c>
      <c r="D10" s="170">
        <f>E9</f>
        <v>1241625</v>
      </c>
      <c r="E10" s="170">
        <f>D10*C10</f>
        <v>372487.5</v>
      </c>
    </row>
    <row r="11" spans="1:7">
      <c r="A11" s="168" t="s">
        <v>135</v>
      </c>
      <c r="B11" s="168"/>
      <c r="C11" s="168"/>
      <c r="D11" s="170"/>
      <c r="E11" s="170">
        <f>E9+E10</f>
        <v>1614112.5</v>
      </c>
    </row>
    <row r="12" spans="1:7" ht="80.099999999999994" customHeight="1">
      <c r="A12" s="177" t="s">
        <v>151</v>
      </c>
      <c r="B12" s="177"/>
      <c r="C12" s="168"/>
      <c r="D12" s="168"/>
      <c r="E12" s="168"/>
    </row>
    <row r="13" spans="1:7" ht="20.25" customHeight="1">
      <c r="A13" s="177" t="s">
        <v>308</v>
      </c>
      <c r="B13" s="177"/>
      <c r="C13" s="168"/>
      <c r="D13" s="168"/>
      <c r="E13" s="168"/>
    </row>
    <row r="14" spans="1:7">
      <c r="A14" s="168" t="s">
        <v>152</v>
      </c>
      <c r="B14" s="168"/>
      <c r="C14" s="169">
        <v>0</v>
      </c>
      <c r="D14" s="169">
        <v>2000000</v>
      </c>
      <c r="E14" s="169">
        <f>D14*C14</f>
        <v>0</v>
      </c>
      <c r="F14" s="7"/>
    </row>
    <row r="15" spans="1:7">
      <c r="A15" s="168" t="s">
        <v>141</v>
      </c>
      <c r="B15" s="168"/>
      <c r="C15" s="169">
        <v>1</v>
      </c>
      <c r="D15" s="169">
        <v>1000000</v>
      </c>
      <c r="E15" s="169">
        <f>C15*D15</f>
        <v>1000000</v>
      </c>
      <c r="F15" s="7"/>
    </row>
    <row r="16" spans="1:7">
      <c r="A16" s="168" t="s">
        <v>137</v>
      </c>
      <c r="B16" s="168"/>
      <c r="C16" s="169">
        <v>50</v>
      </c>
      <c r="D16" s="169">
        <v>3300</v>
      </c>
      <c r="E16" s="169">
        <f>C16*D16</f>
        <v>165000</v>
      </c>
      <c r="F16" s="7"/>
    </row>
    <row r="17" spans="1:6">
      <c r="A17" s="168" t="s">
        <v>143</v>
      </c>
      <c r="B17" s="168"/>
      <c r="C17" s="169">
        <v>1</v>
      </c>
      <c r="D17" s="169">
        <v>100000</v>
      </c>
      <c r="E17" s="169">
        <f>C17*D17</f>
        <v>100000</v>
      </c>
      <c r="F17" s="7"/>
    </row>
    <row r="18" spans="1:6">
      <c r="A18" s="176" t="s">
        <v>307</v>
      </c>
      <c r="B18" s="176"/>
      <c r="C18" s="169"/>
      <c r="D18" s="169"/>
      <c r="E18" s="169"/>
      <c r="F18" s="7"/>
    </row>
    <row r="19" spans="1:6">
      <c r="A19" s="168" t="s">
        <v>3</v>
      </c>
      <c r="B19" s="168"/>
      <c r="C19" s="318">
        <v>0.5</v>
      </c>
      <c r="D19" s="169">
        <v>500000</v>
      </c>
      <c r="E19" s="169">
        <f>D19*C19</f>
        <v>250000</v>
      </c>
      <c r="F19" s="7"/>
    </row>
    <row r="20" spans="1:6">
      <c r="A20" s="168" t="s">
        <v>149</v>
      </c>
      <c r="B20" s="168"/>
      <c r="C20" s="169">
        <v>1</v>
      </c>
      <c r="D20" s="169">
        <v>550000</v>
      </c>
      <c r="E20" s="169">
        <f>D20*C20</f>
        <v>550000</v>
      </c>
      <c r="F20" s="7"/>
    </row>
    <row r="21" spans="1:6">
      <c r="A21" s="168" t="s">
        <v>150</v>
      </c>
      <c r="B21" s="168"/>
      <c r="C21" s="169">
        <v>1</v>
      </c>
      <c r="D21" s="169">
        <v>100000</v>
      </c>
      <c r="E21" s="169">
        <f>C21*D21</f>
        <v>100000</v>
      </c>
      <c r="F21" s="7"/>
    </row>
    <row r="22" spans="1:6">
      <c r="A22" s="168" t="s">
        <v>139</v>
      </c>
      <c r="B22" s="168"/>
      <c r="C22" s="169">
        <v>1</v>
      </c>
      <c r="D22" s="169">
        <v>100000</v>
      </c>
      <c r="E22" s="169">
        <f>C22*D22</f>
        <v>100000</v>
      </c>
      <c r="F22" s="7"/>
    </row>
    <row r="23" spans="1:6">
      <c r="A23" s="176" t="s">
        <v>259</v>
      </c>
      <c r="B23" s="168"/>
      <c r="C23" s="169"/>
      <c r="D23" s="317">
        <v>7.4999999999999997E-2</v>
      </c>
      <c r="E23" s="169">
        <f>SUM(E14:E22)*D23</f>
        <v>169875</v>
      </c>
      <c r="F23" s="7"/>
    </row>
    <row r="24" spans="1:6">
      <c r="A24" s="168" t="s">
        <v>136</v>
      </c>
      <c r="B24" s="168"/>
      <c r="C24" s="169"/>
      <c r="D24" s="169"/>
      <c r="E24" s="169">
        <f>SUM(E14:E23)</f>
        <v>2434875</v>
      </c>
      <c r="F24" s="7"/>
    </row>
    <row r="25" spans="1:6">
      <c r="A25" s="168" t="s">
        <v>153</v>
      </c>
      <c r="B25" s="168"/>
      <c r="C25" s="317">
        <f>30/100</f>
        <v>0.3</v>
      </c>
      <c r="D25" s="169">
        <f>E24</f>
        <v>2434875</v>
      </c>
      <c r="E25" s="169">
        <f>D25*C25</f>
        <v>730462.5</v>
      </c>
      <c r="F25" s="7"/>
    </row>
    <row r="26" spans="1:6">
      <c r="A26" s="168" t="s">
        <v>135</v>
      </c>
      <c r="B26" s="168"/>
      <c r="C26" s="169"/>
      <c r="D26" s="169"/>
      <c r="E26" s="178">
        <f>E24+E25</f>
        <v>3165337.5</v>
      </c>
      <c r="F26" s="7"/>
    </row>
    <row r="27" spans="1:6">
      <c r="A27" s="168"/>
      <c r="B27" s="168"/>
      <c r="C27" s="169"/>
      <c r="D27" s="169"/>
      <c r="E27" s="169"/>
      <c r="F27" s="7"/>
    </row>
    <row r="28" spans="1:6">
      <c r="C28" s="7"/>
      <c r="D28" s="7"/>
      <c r="E28" s="7"/>
      <c r="F28" s="7"/>
    </row>
    <row r="29" spans="1:6">
      <c r="C29" s="7"/>
      <c r="D29" s="7"/>
      <c r="E29" s="7"/>
      <c r="F29" s="7"/>
    </row>
    <row r="30" spans="1:6">
      <c r="C30" s="7"/>
      <c r="D30" s="7"/>
      <c r="E30" s="7"/>
      <c r="F30" s="7"/>
    </row>
    <row r="31" spans="1:6">
      <c r="C31" s="7"/>
      <c r="D31" s="7"/>
      <c r="E31" s="7"/>
      <c r="F31" s="7"/>
    </row>
    <row r="37" ht="27" customHeight="1"/>
  </sheetData>
  <pageMargins left="0.7" right="0.7" top="0.75" bottom="0.75" header="0.3" footer="0.3"/>
  <pageSetup orientation="portrait" verticalDpi="0" r:id="rId1"/>
  <ignoredErrors>
    <ignoredError sqref="E19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dimension ref="A1:F112"/>
  <sheetViews>
    <sheetView workbookViewId="0">
      <selection activeCell="F10" sqref="F10"/>
    </sheetView>
  </sheetViews>
  <sheetFormatPr defaultColWidth="8.85546875" defaultRowHeight="15"/>
  <cols>
    <col min="1" max="1" width="26.42578125" customWidth="1"/>
    <col min="2" max="2" width="9.42578125" bestFit="1" customWidth="1"/>
    <col min="3" max="4" width="14.28515625" bestFit="1" customWidth="1"/>
    <col min="5" max="5" width="14.140625" customWidth="1"/>
  </cols>
  <sheetData>
    <row r="1" spans="1:6">
      <c r="A1" s="181" t="s">
        <v>157</v>
      </c>
      <c r="B1" s="182"/>
      <c r="C1" s="182"/>
      <c r="D1" s="1"/>
    </row>
    <row r="2" spans="1:6">
      <c r="A2" s="183" t="s">
        <v>155</v>
      </c>
      <c r="B2" s="1"/>
      <c r="C2" s="1"/>
      <c r="D2" s="1"/>
    </row>
    <row r="3" spans="1:6">
      <c r="A3" s="1" t="s">
        <v>148</v>
      </c>
      <c r="B3" s="1" t="s">
        <v>1</v>
      </c>
      <c r="C3" s="1" t="s">
        <v>135</v>
      </c>
      <c r="D3" s="1" t="s">
        <v>136</v>
      </c>
    </row>
    <row r="4" spans="1:6">
      <c r="A4" s="1" t="s">
        <v>315</v>
      </c>
      <c r="B4" s="1">
        <v>0</v>
      </c>
      <c r="C4" s="1">
        <v>2000000</v>
      </c>
      <c r="D4" s="1">
        <f>C4*B4</f>
        <v>0</v>
      </c>
    </row>
    <row r="5" spans="1:6">
      <c r="A5" s="1" t="s">
        <v>156</v>
      </c>
      <c r="B5" s="1">
        <v>1</v>
      </c>
      <c r="C5" s="1">
        <v>1000000</v>
      </c>
      <c r="D5" s="1">
        <f>C5*B5</f>
        <v>1000000</v>
      </c>
    </row>
    <row r="6" spans="1:6">
      <c r="A6" s="1" t="s">
        <v>137</v>
      </c>
      <c r="B6" s="1">
        <v>50</v>
      </c>
      <c r="C6" s="1">
        <v>3300</v>
      </c>
      <c r="D6" s="1">
        <f>C6*B6</f>
        <v>165000</v>
      </c>
    </row>
    <row r="7" spans="1:6">
      <c r="A7" s="1" t="s">
        <v>316</v>
      </c>
      <c r="B7" s="1">
        <v>1</v>
      </c>
      <c r="C7" s="1">
        <v>100000</v>
      </c>
      <c r="D7" s="1">
        <f>C7*B7</f>
        <v>100000</v>
      </c>
    </row>
    <row r="8" spans="1:6">
      <c r="A8" s="1" t="s">
        <v>317</v>
      </c>
      <c r="B8" s="1">
        <v>1</v>
      </c>
      <c r="C8" s="1">
        <v>500000</v>
      </c>
      <c r="D8" s="1">
        <f t="shared" ref="D8:D11" si="0">C8*B8</f>
        <v>500000</v>
      </c>
      <c r="E8" s="7"/>
      <c r="F8" s="7"/>
    </row>
    <row r="9" spans="1:6">
      <c r="A9" s="1" t="s">
        <v>318</v>
      </c>
      <c r="B9" s="1">
        <v>1</v>
      </c>
      <c r="C9" s="1">
        <v>550000</v>
      </c>
      <c r="D9" s="1">
        <f t="shared" si="0"/>
        <v>550000</v>
      </c>
      <c r="E9" s="7"/>
      <c r="F9" s="7"/>
    </row>
    <row r="10" spans="1:6">
      <c r="A10" s="1" t="s">
        <v>319</v>
      </c>
      <c r="B10" s="1">
        <v>1</v>
      </c>
      <c r="C10" s="1">
        <v>100000</v>
      </c>
      <c r="D10" s="1">
        <f t="shared" si="0"/>
        <v>100000</v>
      </c>
      <c r="E10" s="7"/>
      <c r="F10" s="7"/>
    </row>
    <row r="11" spans="1:6">
      <c r="A11" s="1" t="s">
        <v>320</v>
      </c>
      <c r="B11" s="1">
        <v>1</v>
      </c>
      <c r="C11" s="1">
        <v>100000</v>
      </c>
      <c r="D11" s="1">
        <f t="shared" si="0"/>
        <v>100000</v>
      </c>
      <c r="E11" s="7"/>
      <c r="F11" s="7"/>
    </row>
    <row r="12" spans="1:6">
      <c r="A12" s="1" t="s">
        <v>259</v>
      </c>
      <c r="B12" s="1"/>
      <c r="C12" s="314">
        <v>7.4999999999999997E-2</v>
      </c>
      <c r="D12" s="1">
        <f>SUM(D4:D11)*C12</f>
        <v>188625</v>
      </c>
      <c r="E12" s="7"/>
      <c r="F12" s="7"/>
    </row>
    <row r="13" spans="1:6">
      <c r="A13" s="1" t="s">
        <v>163</v>
      </c>
      <c r="B13" s="1"/>
      <c r="C13" s="1"/>
      <c r="D13" s="1">
        <f>SUM(D4:D12)</f>
        <v>2703625</v>
      </c>
      <c r="E13" s="7"/>
      <c r="F13" s="7"/>
    </row>
    <row r="14" spans="1:6">
      <c r="A14" s="1" t="s">
        <v>153</v>
      </c>
      <c r="B14" s="314">
        <f>30/100</f>
        <v>0.3</v>
      </c>
      <c r="C14" s="1">
        <f>D13</f>
        <v>2703625</v>
      </c>
      <c r="D14" s="1">
        <f>C14*B14</f>
        <v>811087.5</v>
      </c>
    </row>
    <row r="15" spans="1:6">
      <c r="A15" s="1" t="s">
        <v>154</v>
      </c>
      <c r="B15" s="1"/>
      <c r="C15" s="1"/>
      <c r="D15" s="1">
        <f>D13+D14</f>
        <v>3514712.5</v>
      </c>
    </row>
    <row r="16" spans="1:6">
      <c r="A16" s="183" t="s">
        <v>159</v>
      </c>
      <c r="B16" s="1"/>
      <c r="C16" s="1"/>
      <c r="D16" s="1"/>
    </row>
    <row r="17" spans="1:5">
      <c r="A17" s="1" t="s">
        <v>321</v>
      </c>
      <c r="B17" s="1">
        <v>1</v>
      </c>
      <c r="C17" s="1">
        <v>2000000</v>
      </c>
      <c r="D17" s="1">
        <f>C17*B17</f>
        <v>2000000</v>
      </c>
      <c r="E17" s="7"/>
    </row>
    <row r="18" spans="1:5">
      <c r="A18" s="1" t="s">
        <v>160</v>
      </c>
      <c r="B18" s="1">
        <v>1</v>
      </c>
      <c r="C18" s="1">
        <v>800000</v>
      </c>
      <c r="D18" s="1">
        <f>B18*C18</f>
        <v>800000</v>
      </c>
      <c r="E18" s="7"/>
    </row>
    <row r="19" spans="1:5">
      <c r="A19" s="1" t="s">
        <v>137</v>
      </c>
      <c r="B19" s="1">
        <v>30</v>
      </c>
      <c r="C19" s="1">
        <v>3300</v>
      </c>
      <c r="D19" s="1">
        <f t="shared" ref="D19:D24" si="1">B19*C19</f>
        <v>99000</v>
      </c>
      <c r="E19" s="7"/>
    </row>
    <row r="20" spans="1:5">
      <c r="A20" s="1" t="s">
        <v>322</v>
      </c>
      <c r="B20" s="1">
        <v>1</v>
      </c>
      <c r="C20" s="1">
        <v>100000</v>
      </c>
      <c r="D20" s="1">
        <f t="shared" si="1"/>
        <v>100000</v>
      </c>
      <c r="E20" s="7"/>
    </row>
    <row r="21" spans="1:5">
      <c r="A21" s="1" t="s">
        <v>323</v>
      </c>
      <c r="B21" s="1">
        <v>1</v>
      </c>
      <c r="C21" s="1">
        <v>500000</v>
      </c>
      <c r="D21" s="1">
        <f>C21*B21</f>
        <v>500000</v>
      </c>
      <c r="E21" s="7"/>
    </row>
    <row r="22" spans="1:5">
      <c r="A22" s="1" t="s">
        <v>318</v>
      </c>
      <c r="B22" s="1">
        <v>1</v>
      </c>
      <c r="C22" s="1">
        <v>550000</v>
      </c>
      <c r="D22" s="1">
        <f>C22*B22</f>
        <v>550000</v>
      </c>
      <c r="E22" s="7"/>
    </row>
    <row r="23" spans="1:5">
      <c r="A23" s="1" t="s">
        <v>319</v>
      </c>
      <c r="B23" s="1">
        <v>1</v>
      </c>
      <c r="C23" s="1">
        <v>100000</v>
      </c>
      <c r="D23" s="1">
        <f t="shared" si="1"/>
        <v>100000</v>
      </c>
      <c r="E23" s="7"/>
    </row>
    <row r="24" spans="1:5">
      <c r="A24" s="1" t="s">
        <v>320</v>
      </c>
      <c r="B24" s="1">
        <v>1</v>
      </c>
      <c r="C24" s="1">
        <v>100000</v>
      </c>
      <c r="D24" s="1">
        <f t="shared" si="1"/>
        <v>100000</v>
      </c>
      <c r="E24" s="7"/>
    </row>
    <row r="25" spans="1:5">
      <c r="A25" s="1" t="s">
        <v>259</v>
      </c>
      <c r="B25" s="1"/>
      <c r="C25" s="315">
        <v>7.4999999999999997E-2</v>
      </c>
      <c r="D25" s="1">
        <f>SUM(D17:D24)*C25</f>
        <v>318675</v>
      </c>
      <c r="E25" s="7"/>
    </row>
    <row r="26" spans="1:5">
      <c r="A26" s="1" t="s">
        <v>5</v>
      </c>
      <c r="B26" s="1"/>
      <c r="C26" s="1"/>
      <c r="D26" s="1">
        <f>SUM(D17:D24)</f>
        <v>4249000</v>
      </c>
      <c r="E26" s="7"/>
    </row>
    <row r="27" spans="1:5">
      <c r="A27" s="1" t="s">
        <v>153</v>
      </c>
      <c r="B27" s="315">
        <f>30/100</f>
        <v>0.3</v>
      </c>
      <c r="C27" s="1">
        <f>D26</f>
        <v>4249000</v>
      </c>
      <c r="D27" s="1">
        <f>C27*B27</f>
        <v>1274700</v>
      </c>
      <c r="E27" s="7"/>
    </row>
    <row r="28" spans="1:5">
      <c r="A28" s="1" t="s">
        <v>154</v>
      </c>
      <c r="B28" s="1"/>
      <c r="C28" s="1"/>
      <c r="D28" s="1">
        <f>D26+D27</f>
        <v>5523700</v>
      </c>
      <c r="E28" s="7"/>
    </row>
    <row r="29" spans="1:5">
      <c r="A29" s="183" t="str">
        <f>[2]BOQ!$B$42</f>
        <v>b) Opening / re-excavation of side, mitre, catch water and other spec. drains</v>
      </c>
      <c r="B29" s="1"/>
      <c r="C29" s="1"/>
      <c r="D29" s="1"/>
      <c r="E29" s="7"/>
    </row>
    <row r="30" spans="1:5">
      <c r="A30" s="1" t="s">
        <v>152</v>
      </c>
      <c r="B30" s="1">
        <v>0</v>
      </c>
      <c r="C30" s="1">
        <v>2000000</v>
      </c>
      <c r="D30" s="1">
        <f>C30*B30</f>
        <v>0</v>
      </c>
      <c r="E30" s="7"/>
    </row>
    <row r="31" spans="1:5">
      <c r="A31" s="1" t="s">
        <v>160</v>
      </c>
      <c r="B31" s="1">
        <v>1</v>
      </c>
      <c r="C31" s="1">
        <v>800000</v>
      </c>
      <c r="D31" s="1">
        <f>B31*C31</f>
        <v>800000</v>
      </c>
      <c r="E31" s="7"/>
    </row>
    <row r="32" spans="1:5">
      <c r="A32" s="1" t="s">
        <v>137</v>
      </c>
      <c r="B32" s="1">
        <v>30</v>
      </c>
      <c r="C32" s="1">
        <v>3300</v>
      </c>
      <c r="D32" s="1">
        <f t="shared" ref="D32:D33" si="2">B32*C32</f>
        <v>99000</v>
      </c>
      <c r="E32" s="7"/>
    </row>
    <row r="33" spans="1:5">
      <c r="A33" s="1" t="s">
        <v>143</v>
      </c>
      <c r="B33" s="1">
        <v>1</v>
      </c>
      <c r="C33" s="1">
        <v>100000</v>
      </c>
      <c r="D33" s="1">
        <f t="shared" si="2"/>
        <v>100000</v>
      </c>
      <c r="E33" s="7"/>
    </row>
    <row r="34" spans="1:5">
      <c r="A34" s="1" t="s">
        <v>323</v>
      </c>
      <c r="B34" s="1">
        <v>1</v>
      </c>
      <c r="C34" s="1">
        <v>500000</v>
      </c>
      <c r="D34" s="1">
        <f>C34*B34</f>
        <v>500000</v>
      </c>
    </row>
    <row r="35" spans="1:5">
      <c r="A35" s="1" t="s">
        <v>318</v>
      </c>
      <c r="B35" s="1">
        <v>1</v>
      </c>
      <c r="C35" s="1">
        <v>550000</v>
      </c>
      <c r="D35" s="1">
        <f>C35*B35</f>
        <v>550000</v>
      </c>
    </row>
    <row r="36" spans="1:5">
      <c r="A36" s="1" t="s">
        <v>320</v>
      </c>
      <c r="B36" s="1">
        <v>1</v>
      </c>
      <c r="C36" s="1">
        <v>100000</v>
      </c>
      <c r="D36" s="1">
        <f t="shared" ref="D36" si="3">B36*C36</f>
        <v>100000</v>
      </c>
    </row>
    <row r="37" spans="1:5">
      <c r="A37" s="1" t="s">
        <v>259</v>
      </c>
      <c r="B37" s="1"/>
      <c r="C37" s="315">
        <v>7.4999999999999997E-2</v>
      </c>
      <c r="D37" s="1">
        <f>SUM(D30:D36)*C37</f>
        <v>161175</v>
      </c>
    </row>
    <row r="38" spans="1:5">
      <c r="A38" s="1" t="s">
        <v>5</v>
      </c>
      <c r="B38" s="1"/>
      <c r="C38" s="1"/>
      <c r="D38" s="1">
        <f>SUM(D30:D36)</f>
        <v>2149000</v>
      </c>
      <c r="E38" s="211">
        <f>D38+D26+D13</f>
        <v>9101625</v>
      </c>
    </row>
    <row r="39" spans="1:5">
      <c r="A39" s="1" t="s">
        <v>153</v>
      </c>
      <c r="B39" s="315">
        <f>30/100</f>
        <v>0.3</v>
      </c>
      <c r="C39" s="1">
        <f>D38</f>
        <v>2149000</v>
      </c>
      <c r="D39" s="1">
        <f>C39*B39</f>
        <v>644700</v>
      </c>
      <c r="E39" s="211">
        <f t="shared" ref="E39:E40" si="4">D39+D27+D14</f>
        <v>2730487.5</v>
      </c>
    </row>
    <row r="40" spans="1:5">
      <c r="A40" s="1" t="s">
        <v>154</v>
      </c>
      <c r="B40" s="1"/>
      <c r="C40" s="1"/>
      <c r="D40" s="1">
        <f>D38+D39</f>
        <v>2793700</v>
      </c>
      <c r="E40" s="211">
        <f t="shared" si="4"/>
        <v>11832112.5</v>
      </c>
    </row>
    <row r="41" spans="1:5">
      <c r="A41" s="181" t="s">
        <v>161</v>
      </c>
      <c r="B41" s="1"/>
      <c r="C41" s="1"/>
      <c r="D41" s="1"/>
    </row>
    <row r="42" spans="1:5" s="8" customFormat="1">
      <c r="A42" s="183" t="s">
        <v>162</v>
      </c>
      <c r="B42" s="183"/>
      <c r="C42" s="183"/>
      <c r="D42" s="183"/>
    </row>
    <row r="43" spans="1:5">
      <c r="A43" s="1" t="s">
        <v>148</v>
      </c>
      <c r="B43" s="1" t="s">
        <v>1</v>
      </c>
      <c r="C43" s="1" t="s">
        <v>135</v>
      </c>
      <c r="D43" s="1" t="s">
        <v>136</v>
      </c>
    </row>
    <row r="44" spans="1:5">
      <c r="A44" s="1" t="s">
        <v>152</v>
      </c>
      <c r="B44" s="1">
        <v>0</v>
      </c>
      <c r="C44" s="1">
        <v>2000000</v>
      </c>
      <c r="D44" s="1">
        <f>C44*B44</f>
        <v>0</v>
      </c>
    </row>
    <row r="45" spans="1:5">
      <c r="A45" s="1" t="s">
        <v>156</v>
      </c>
      <c r="B45" s="1">
        <v>1</v>
      </c>
      <c r="C45" s="1">
        <v>1000000</v>
      </c>
      <c r="D45" s="1">
        <f>C45*B45</f>
        <v>1000000</v>
      </c>
    </row>
    <row r="46" spans="1:5">
      <c r="A46" s="1" t="s">
        <v>137</v>
      </c>
      <c r="B46" s="1">
        <v>150</v>
      </c>
      <c r="C46" s="1">
        <v>3300</v>
      </c>
      <c r="D46" s="1">
        <f>C46*B46</f>
        <v>495000</v>
      </c>
    </row>
    <row r="47" spans="1:5">
      <c r="A47" s="1" t="s">
        <v>143</v>
      </c>
      <c r="B47" s="1">
        <v>1</v>
      </c>
      <c r="C47" s="1">
        <v>100000</v>
      </c>
      <c r="D47" s="1">
        <f>C47*B47</f>
        <v>100000</v>
      </c>
    </row>
    <row r="48" spans="1:5">
      <c r="A48" s="1" t="s">
        <v>3</v>
      </c>
      <c r="B48" s="1">
        <v>1</v>
      </c>
      <c r="C48" s="1">
        <v>500000</v>
      </c>
      <c r="D48" s="1">
        <f t="shared" ref="D48:D52" si="5">C48*B48</f>
        <v>500000</v>
      </c>
    </row>
    <row r="49" spans="1:4">
      <c r="A49" s="1" t="s">
        <v>149</v>
      </c>
      <c r="B49" s="1">
        <v>1</v>
      </c>
      <c r="C49" s="1">
        <v>550000</v>
      </c>
      <c r="D49" s="1">
        <f t="shared" si="5"/>
        <v>550000</v>
      </c>
    </row>
    <row r="50" spans="1:4">
      <c r="A50" s="1" t="s">
        <v>164</v>
      </c>
      <c r="B50" s="1">
        <v>1</v>
      </c>
      <c r="C50" s="1">
        <v>100000</v>
      </c>
      <c r="D50" s="1">
        <f>C50*B50</f>
        <v>100000</v>
      </c>
    </row>
    <row r="51" spans="1:4">
      <c r="A51" s="1" t="s">
        <v>150</v>
      </c>
      <c r="B51" s="1">
        <v>1</v>
      </c>
      <c r="C51" s="1">
        <v>100000</v>
      </c>
      <c r="D51" s="1">
        <f t="shared" si="5"/>
        <v>100000</v>
      </c>
    </row>
    <row r="52" spans="1:4">
      <c r="A52" s="1" t="s">
        <v>139</v>
      </c>
      <c r="B52" s="1">
        <v>1</v>
      </c>
      <c r="C52" s="1">
        <v>100000</v>
      </c>
      <c r="D52" s="1">
        <f t="shared" si="5"/>
        <v>100000</v>
      </c>
    </row>
    <row r="53" spans="1:4">
      <c r="A53" s="1" t="s">
        <v>259</v>
      </c>
      <c r="B53" s="1"/>
      <c r="C53" s="1">
        <v>7.4999999999999997E-2</v>
      </c>
      <c r="D53" s="1">
        <f>SUM(D44:D52)*C53</f>
        <v>220875</v>
      </c>
    </row>
    <row r="54" spans="1:4">
      <c r="A54" s="1" t="s">
        <v>163</v>
      </c>
      <c r="B54" s="1"/>
      <c r="C54" s="1"/>
      <c r="D54" s="1">
        <f>SUM(D44:D53)</f>
        <v>3165875</v>
      </c>
    </row>
    <row r="55" spans="1:4">
      <c r="A55" s="1" t="s">
        <v>153</v>
      </c>
      <c r="B55" s="1">
        <f>30/100</f>
        <v>0.3</v>
      </c>
      <c r="C55" s="1">
        <f>D54</f>
        <v>3165875</v>
      </c>
      <c r="D55" s="1">
        <f>C55*B55</f>
        <v>949762.5</v>
      </c>
    </row>
    <row r="56" spans="1:4">
      <c r="A56" s="1" t="s">
        <v>154</v>
      </c>
      <c r="B56" s="1"/>
      <c r="C56" s="1"/>
      <c r="D56" s="1">
        <f>D54+D55</f>
        <v>4115637.5</v>
      </c>
    </row>
    <row r="57" spans="1:4">
      <c r="A57" s="183" t="s">
        <v>165</v>
      </c>
      <c r="B57" s="1"/>
      <c r="C57" s="1"/>
      <c r="D57" s="1"/>
    </row>
    <row r="58" spans="1:4">
      <c r="A58" s="1" t="s">
        <v>148</v>
      </c>
      <c r="B58" s="1" t="s">
        <v>1</v>
      </c>
      <c r="C58" s="1" t="s">
        <v>135</v>
      </c>
      <c r="D58" s="1" t="s">
        <v>136</v>
      </c>
    </row>
    <row r="59" spans="1:4">
      <c r="A59" s="1" t="s">
        <v>152</v>
      </c>
      <c r="B59" s="1">
        <v>0</v>
      </c>
      <c r="C59" s="1">
        <v>2000000</v>
      </c>
      <c r="D59" s="1">
        <f>C59*B59</f>
        <v>0</v>
      </c>
    </row>
    <row r="60" spans="1:4">
      <c r="A60" s="1" t="s">
        <v>166</v>
      </c>
      <c r="B60" s="1">
        <v>1</v>
      </c>
      <c r="C60" s="1">
        <v>1000000</v>
      </c>
      <c r="D60" s="1">
        <f>C60*B60</f>
        <v>1000000</v>
      </c>
    </row>
    <row r="61" spans="1:4">
      <c r="A61" s="1" t="s">
        <v>137</v>
      </c>
      <c r="B61" s="1">
        <v>70</v>
      </c>
      <c r="C61" s="1">
        <v>3300</v>
      </c>
      <c r="D61" s="1">
        <f>C61*B61</f>
        <v>231000</v>
      </c>
    </row>
    <row r="62" spans="1:4">
      <c r="A62" s="1" t="s">
        <v>143</v>
      </c>
      <c r="B62" s="1">
        <v>1</v>
      </c>
      <c r="C62" s="1">
        <v>100000</v>
      </c>
      <c r="D62" s="1">
        <f>C62*B62</f>
        <v>100000</v>
      </c>
    </row>
    <row r="63" spans="1:4">
      <c r="A63" s="1" t="s">
        <v>149</v>
      </c>
      <c r="B63" s="1">
        <v>1</v>
      </c>
      <c r="C63" s="1">
        <v>550000</v>
      </c>
      <c r="D63" s="1">
        <f t="shared" ref="D63" si="6">C63*B63</f>
        <v>550000</v>
      </c>
    </row>
    <row r="64" spans="1:4">
      <c r="A64" s="1" t="s">
        <v>164</v>
      </c>
      <c r="B64" s="1">
        <v>1</v>
      </c>
      <c r="C64" s="1">
        <v>100000</v>
      </c>
      <c r="D64" s="1">
        <f>C64*B64</f>
        <v>100000</v>
      </c>
    </row>
    <row r="65" spans="1:4">
      <c r="A65" s="1" t="s">
        <v>139</v>
      </c>
      <c r="B65" s="1">
        <v>1</v>
      </c>
      <c r="C65" s="1">
        <v>100000</v>
      </c>
      <c r="D65" s="1">
        <f t="shared" ref="D65" si="7">C65*B65</f>
        <v>100000</v>
      </c>
    </row>
    <row r="66" spans="1:4">
      <c r="A66" s="1" t="s">
        <v>259</v>
      </c>
      <c r="B66" s="1"/>
      <c r="C66" s="1">
        <v>7.4999999999999997E-2</v>
      </c>
      <c r="D66" s="1">
        <f>SUM(D59:D65)*C66</f>
        <v>156075</v>
      </c>
    </row>
    <row r="67" spans="1:4" s="9" customFormat="1">
      <c r="A67" s="1" t="s">
        <v>163</v>
      </c>
      <c r="B67" s="1"/>
      <c r="C67" s="1"/>
      <c r="D67" s="1">
        <f>SUM(D59:D66)</f>
        <v>2237075</v>
      </c>
    </row>
    <row r="68" spans="1:4" s="8" customFormat="1">
      <c r="A68" s="1" t="s">
        <v>153</v>
      </c>
      <c r="B68" s="1">
        <f>30/100</f>
        <v>0.3</v>
      </c>
      <c r="C68" s="1">
        <f>D67</f>
        <v>2237075</v>
      </c>
      <c r="D68" s="1">
        <f>C68*B68</f>
        <v>671122.5</v>
      </c>
    </row>
    <row r="69" spans="1:4">
      <c r="A69" s="184" t="s">
        <v>154</v>
      </c>
      <c r="B69" s="184"/>
      <c r="C69" s="184"/>
      <c r="D69" s="184">
        <f>D67+D68</f>
        <v>2908197.5</v>
      </c>
    </row>
    <row r="70" spans="1:4">
      <c r="A70" s="183" t="s">
        <v>167</v>
      </c>
      <c r="B70" s="183"/>
      <c r="C70" s="183"/>
      <c r="D70" s="183"/>
    </row>
    <row r="71" spans="1:4">
      <c r="A71" s="1" t="s">
        <v>148</v>
      </c>
      <c r="B71" s="1" t="s">
        <v>1</v>
      </c>
      <c r="C71" s="1" t="s">
        <v>135</v>
      </c>
      <c r="D71" s="1" t="s">
        <v>136</v>
      </c>
    </row>
    <row r="72" spans="1:4">
      <c r="A72" s="1" t="s">
        <v>315</v>
      </c>
      <c r="B72" s="1">
        <v>0</v>
      </c>
      <c r="C72" s="1">
        <v>2000000</v>
      </c>
      <c r="D72" s="1">
        <f t="shared" ref="D72:D81" si="8">C72*B72</f>
        <v>0</v>
      </c>
    </row>
    <row r="73" spans="1:4">
      <c r="A73" s="1" t="s">
        <v>169</v>
      </c>
      <c r="B73" s="1">
        <v>1</v>
      </c>
      <c r="C73" s="1">
        <v>500000</v>
      </c>
      <c r="D73" s="1">
        <f t="shared" si="8"/>
        <v>500000</v>
      </c>
    </row>
    <row r="74" spans="1:4">
      <c r="A74" s="1" t="s">
        <v>137</v>
      </c>
      <c r="B74" s="1">
        <v>50</v>
      </c>
      <c r="C74" s="1">
        <v>3300</v>
      </c>
      <c r="D74" s="1">
        <f t="shared" si="8"/>
        <v>165000</v>
      </c>
    </row>
    <row r="75" spans="1:4">
      <c r="A75" s="1" t="s">
        <v>168</v>
      </c>
      <c r="B75" s="1">
        <v>1</v>
      </c>
      <c r="C75" s="1">
        <v>600000</v>
      </c>
      <c r="D75" s="1">
        <f t="shared" si="8"/>
        <v>600000</v>
      </c>
    </row>
    <row r="76" spans="1:4">
      <c r="A76" s="1" t="s">
        <v>137</v>
      </c>
      <c r="B76" s="1">
        <v>100</v>
      </c>
      <c r="C76" s="1">
        <v>3300</v>
      </c>
      <c r="D76" s="1">
        <f t="shared" si="8"/>
        <v>330000</v>
      </c>
    </row>
    <row r="77" spans="1:4">
      <c r="A77" s="1" t="s">
        <v>143</v>
      </c>
      <c r="B77" s="1">
        <v>1</v>
      </c>
      <c r="C77" s="1">
        <v>100000</v>
      </c>
      <c r="D77" s="1">
        <f t="shared" si="8"/>
        <v>100000</v>
      </c>
    </row>
    <row r="78" spans="1:4">
      <c r="A78" s="1" t="s">
        <v>3</v>
      </c>
      <c r="B78" s="1">
        <v>1</v>
      </c>
      <c r="C78" s="1">
        <v>500000</v>
      </c>
      <c r="D78" s="1">
        <f t="shared" si="8"/>
        <v>500000</v>
      </c>
    </row>
    <row r="79" spans="1:4">
      <c r="A79" s="1" t="s">
        <v>149</v>
      </c>
      <c r="B79" s="1">
        <v>1</v>
      </c>
      <c r="C79" s="1">
        <v>550000</v>
      </c>
      <c r="D79" s="1">
        <f t="shared" si="8"/>
        <v>550000</v>
      </c>
    </row>
    <row r="80" spans="1:4">
      <c r="A80" s="1" t="s">
        <v>150</v>
      </c>
      <c r="B80" s="1">
        <v>1</v>
      </c>
      <c r="C80" s="1">
        <v>100000</v>
      </c>
      <c r="D80" s="1">
        <f t="shared" si="8"/>
        <v>100000</v>
      </c>
    </row>
    <row r="81" spans="1:4">
      <c r="A81" s="1" t="s">
        <v>139</v>
      </c>
      <c r="B81" s="1">
        <v>1</v>
      </c>
      <c r="C81" s="1">
        <v>100000</v>
      </c>
      <c r="D81" s="1">
        <f t="shared" si="8"/>
        <v>100000</v>
      </c>
    </row>
    <row r="82" spans="1:4">
      <c r="A82" s="1" t="s">
        <v>259</v>
      </c>
      <c r="B82" s="1"/>
      <c r="C82" s="314">
        <v>7.4999999999999997E-2</v>
      </c>
      <c r="D82" s="1">
        <f>SUM(D72:D81)*C82</f>
        <v>220875</v>
      </c>
    </row>
    <row r="83" spans="1:4">
      <c r="A83" s="1" t="s">
        <v>163</v>
      </c>
      <c r="B83" s="1"/>
      <c r="C83" s="1"/>
      <c r="D83" s="1">
        <f>SUM(D72:D82)</f>
        <v>3165875</v>
      </c>
    </row>
    <row r="84" spans="1:4">
      <c r="A84" s="1" t="s">
        <v>153</v>
      </c>
      <c r="B84" s="314">
        <f>30/100</f>
        <v>0.3</v>
      </c>
      <c r="C84" s="1">
        <f>D83</f>
        <v>3165875</v>
      </c>
      <c r="D84" s="1">
        <f>C84*B84</f>
        <v>949762.5</v>
      </c>
    </row>
    <row r="85" spans="1:4">
      <c r="A85" s="1" t="s">
        <v>154</v>
      </c>
      <c r="B85" s="1"/>
      <c r="C85" s="1"/>
      <c r="D85" s="1">
        <f>D83+D84</f>
        <v>4115637.5</v>
      </c>
    </row>
    <row r="86" spans="1:4">
      <c r="A86" s="181" t="s">
        <v>170</v>
      </c>
      <c r="B86" s="1"/>
      <c r="C86" s="1"/>
      <c r="D86" s="1"/>
    </row>
    <row r="87" spans="1:4">
      <c r="A87" s="183" t="s">
        <v>171</v>
      </c>
      <c r="B87" s="1"/>
      <c r="C87" s="1"/>
      <c r="D87" s="1"/>
    </row>
    <row r="88" spans="1:4">
      <c r="A88" s="1" t="s">
        <v>148</v>
      </c>
      <c r="B88" s="1" t="s">
        <v>1</v>
      </c>
      <c r="C88" s="1" t="s">
        <v>135</v>
      </c>
      <c r="D88" s="1" t="s">
        <v>136</v>
      </c>
    </row>
    <row r="89" spans="1:4">
      <c r="A89" s="1" t="s">
        <v>152</v>
      </c>
      <c r="B89" s="1">
        <v>0</v>
      </c>
      <c r="C89" s="1">
        <v>2000000</v>
      </c>
      <c r="D89" s="1">
        <f>C89*B89</f>
        <v>0</v>
      </c>
    </row>
    <row r="90" spans="1:4">
      <c r="A90" s="1" t="s">
        <v>172</v>
      </c>
      <c r="B90" s="1">
        <v>3</v>
      </c>
      <c r="C90" s="1">
        <v>1000000</v>
      </c>
      <c r="D90" s="1">
        <f>C90*B90</f>
        <v>3000000</v>
      </c>
    </row>
    <row r="91" spans="1:4">
      <c r="A91" s="1" t="s">
        <v>137</v>
      </c>
      <c r="B91" s="1">
        <v>100</v>
      </c>
      <c r="C91" s="1">
        <v>3300</v>
      </c>
      <c r="D91" s="1">
        <f>C91*B91*B90</f>
        <v>990000</v>
      </c>
    </row>
    <row r="92" spans="1:4">
      <c r="A92" s="1" t="s">
        <v>143</v>
      </c>
      <c r="B92" s="1">
        <v>1</v>
      </c>
      <c r="C92" s="1">
        <v>100000</v>
      </c>
      <c r="D92" s="1">
        <f>C92*B92</f>
        <v>100000</v>
      </c>
    </row>
    <row r="93" spans="1:4">
      <c r="A93" s="1" t="s">
        <v>3</v>
      </c>
      <c r="B93" s="1">
        <v>1</v>
      </c>
      <c r="C93" s="1">
        <v>500000</v>
      </c>
      <c r="D93" s="1">
        <f t="shared" ref="D93:D95" si="9">C93*B93</f>
        <v>500000</v>
      </c>
    </row>
    <row r="94" spans="1:4">
      <c r="A94" s="1" t="s">
        <v>150</v>
      </c>
      <c r="B94" s="1">
        <v>1</v>
      </c>
      <c r="C94" s="1">
        <v>100000</v>
      </c>
      <c r="D94" s="1">
        <f t="shared" si="9"/>
        <v>100000</v>
      </c>
    </row>
    <row r="95" spans="1:4">
      <c r="A95" s="1" t="s">
        <v>139</v>
      </c>
      <c r="B95" s="1">
        <v>1</v>
      </c>
      <c r="C95" s="1">
        <v>100000</v>
      </c>
      <c r="D95" s="1">
        <f t="shared" si="9"/>
        <v>100000</v>
      </c>
    </row>
    <row r="96" spans="1:4" s="8" customFormat="1">
      <c r="A96" s="1" t="s">
        <v>259</v>
      </c>
      <c r="B96" s="1"/>
      <c r="C96" s="315">
        <v>7.4999999999999997E-2</v>
      </c>
      <c r="D96" s="1">
        <f>SUM(D89:D95)*C96</f>
        <v>359250</v>
      </c>
    </row>
    <row r="97" spans="1:4">
      <c r="A97" s="1" t="s">
        <v>163</v>
      </c>
      <c r="B97" s="1"/>
      <c r="C97" s="1"/>
      <c r="D97" s="1">
        <f>SUM(D89:D96)</f>
        <v>5149250</v>
      </c>
    </row>
    <row r="98" spans="1:4">
      <c r="A98" s="1" t="s">
        <v>153</v>
      </c>
      <c r="B98" s="315">
        <f>30/100</f>
        <v>0.3</v>
      </c>
      <c r="C98" s="1">
        <f>D97</f>
        <v>5149250</v>
      </c>
      <c r="D98" s="1">
        <f>C98*B98</f>
        <v>1544775</v>
      </c>
    </row>
    <row r="99" spans="1:4">
      <c r="A99" s="1" t="s">
        <v>154</v>
      </c>
      <c r="B99" s="1"/>
      <c r="C99" s="1"/>
      <c r="D99" s="1">
        <f>D97+D98</f>
        <v>6694025</v>
      </c>
    </row>
    <row r="100" spans="1:4">
      <c r="A100" s="183" t="s">
        <v>173</v>
      </c>
      <c r="B100" s="183"/>
      <c r="C100" s="183"/>
      <c r="D100" s="183"/>
    </row>
    <row r="101" spans="1:4">
      <c r="A101" s="1" t="s">
        <v>148</v>
      </c>
      <c r="B101" s="1" t="s">
        <v>1</v>
      </c>
      <c r="C101" s="1" t="s">
        <v>135</v>
      </c>
      <c r="D101" s="1" t="s">
        <v>136</v>
      </c>
    </row>
    <row r="102" spans="1:4">
      <c r="A102" s="1" t="s">
        <v>152</v>
      </c>
      <c r="B102" s="201">
        <v>0</v>
      </c>
      <c r="C102" s="242">
        <v>2000000</v>
      </c>
      <c r="D102" s="201">
        <f>C102*B102</f>
        <v>0</v>
      </c>
    </row>
    <row r="103" spans="1:4">
      <c r="A103" s="1" t="s">
        <v>177</v>
      </c>
      <c r="B103" s="1">
        <v>3</v>
      </c>
      <c r="C103" s="1">
        <v>500000</v>
      </c>
      <c r="D103" s="1">
        <f>C103*B103</f>
        <v>1500000</v>
      </c>
    </row>
    <row r="104" spans="1:4">
      <c r="A104" s="1" t="s">
        <v>137</v>
      </c>
      <c r="B104" s="1">
        <v>150</v>
      </c>
      <c r="C104" s="1">
        <v>3300</v>
      </c>
      <c r="D104" s="1">
        <f>C104*B104*B103</f>
        <v>1485000</v>
      </c>
    </row>
    <row r="105" spans="1:4">
      <c r="A105" s="1" t="s">
        <v>143</v>
      </c>
      <c r="B105" s="1">
        <v>1</v>
      </c>
      <c r="C105" s="1">
        <v>100000</v>
      </c>
      <c r="D105" s="1">
        <f>C105*B105</f>
        <v>100000</v>
      </c>
    </row>
    <row r="106" spans="1:4">
      <c r="A106" s="1" t="s">
        <v>175</v>
      </c>
      <c r="B106" s="1">
        <v>3</v>
      </c>
      <c r="C106" s="1">
        <v>1000000</v>
      </c>
      <c r="D106" s="1">
        <f>C106*B106</f>
        <v>3000000</v>
      </c>
    </row>
    <row r="107" spans="1:4">
      <c r="A107" s="1" t="s">
        <v>137</v>
      </c>
      <c r="B107" s="1">
        <v>100</v>
      </c>
      <c r="C107" s="1">
        <v>3300</v>
      </c>
      <c r="D107" s="1">
        <f>C107*B107*B106</f>
        <v>990000</v>
      </c>
    </row>
    <row r="108" spans="1:4">
      <c r="A108" s="1" t="s">
        <v>143</v>
      </c>
      <c r="B108" s="1">
        <v>1</v>
      </c>
      <c r="C108" s="1">
        <v>100000</v>
      </c>
      <c r="D108" s="1">
        <f>C108*B108</f>
        <v>100000</v>
      </c>
    </row>
    <row r="109" spans="1:4">
      <c r="A109" s="1" t="s">
        <v>259</v>
      </c>
      <c r="B109" s="1"/>
      <c r="C109" s="315">
        <v>7.4999999999999997E-2</v>
      </c>
      <c r="D109" s="1">
        <f>SUM(D102:D108)*C109</f>
        <v>538125</v>
      </c>
    </row>
    <row r="110" spans="1:4">
      <c r="A110" s="1" t="s">
        <v>163</v>
      </c>
      <c r="B110" s="1"/>
      <c r="C110" s="1"/>
      <c r="D110" s="1">
        <f>SUM(D102:D108)</f>
        <v>7175000</v>
      </c>
    </row>
    <row r="111" spans="1:4">
      <c r="A111" s="1" t="s">
        <v>153</v>
      </c>
      <c r="B111" s="315">
        <f>30/100</f>
        <v>0.3</v>
      </c>
      <c r="C111" s="1">
        <f>D110</f>
        <v>7175000</v>
      </c>
      <c r="D111" s="1">
        <f>C111*B111</f>
        <v>2152500</v>
      </c>
    </row>
    <row r="112" spans="1:4">
      <c r="A112" s="1" t="s">
        <v>154</v>
      </c>
      <c r="B112" s="1"/>
      <c r="C112" s="1"/>
      <c r="D112" s="1">
        <f>D110+D111</f>
        <v>9327500</v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dimension ref="A1:L24"/>
  <sheetViews>
    <sheetView topLeftCell="A8" workbookViewId="0">
      <selection activeCell="D28" sqref="D28"/>
    </sheetView>
  </sheetViews>
  <sheetFormatPr defaultColWidth="8.85546875" defaultRowHeight="15"/>
  <cols>
    <col min="1" max="1" width="26.42578125" customWidth="1"/>
    <col min="2" max="2" width="9.42578125" bestFit="1" customWidth="1"/>
    <col min="3" max="3" width="13.42578125" bestFit="1" customWidth="1"/>
    <col min="4" max="4" width="13.28515625" bestFit="1" customWidth="1"/>
    <col min="8" max="8" width="27.28515625" customWidth="1"/>
    <col min="9" max="9" width="9.42578125" customWidth="1"/>
    <col min="10" max="10" width="14.85546875" customWidth="1"/>
    <col min="11" max="11" width="15.7109375" customWidth="1"/>
  </cols>
  <sheetData>
    <row r="1" spans="1:12">
      <c r="A1" s="181" t="s">
        <v>115</v>
      </c>
      <c r="B1" s="182"/>
      <c r="C1" s="182"/>
      <c r="D1" s="1"/>
      <c r="E1" s="168"/>
    </row>
    <row r="2" spans="1:12">
      <c r="A2" s="183" t="s">
        <v>186</v>
      </c>
      <c r="B2" s="1"/>
      <c r="C2" s="1"/>
      <c r="D2" s="1"/>
      <c r="E2" s="168"/>
      <c r="H2" s="183"/>
      <c r="I2" s="1"/>
      <c r="J2" s="1"/>
      <c r="K2" s="1"/>
      <c r="L2" s="168"/>
    </row>
    <row r="3" spans="1:12">
      <c r="A3" s="1" t="s">
        <v>148</v>
      </c>
      <c r="B3" s="1" t="s">
        <v>1</v>
      </c>
      <c r="C3" s="1" t="s">
        <v>135</v>
      </c>
      <c r="D3" s="1" t="s">
        <v>136</v>
      </c>
      <c r="E3" s="168"/>
      <c r="H3" s="1"/>
      <c r="I3" s="1"/>
      <c r="J3" s="1"/>
      <c r="K3" s="1"/>
      <c r="L3" s="168"/>
    </row>
    <row r="4" spans="1:12">
      <c r="A4" s="185" t="s">
        <v>309</v>
      </c>
      <c r="B4" s="1"/>
      <c r="C4" s="1"/>
      <c r="D4" s="1"/>
      <c r="E4" s="168"/>
      <c r="H4" s="185"/>
      <c r="I4" s="1"/>
      <c r="J4" s="1"/>
      <c r="K4" s="1"/>
      <c r="L4" s="168"/>
    </row>
    <row r="5" spans="1:12">
      <c r="A5" s="1" t="s">
        <v>152</v>
      </c>
      <c r="B5" s="1">
        <v>0</v>
      </c>
      <c r="C5" s="1">
        <v>2000000</v>
      </c>
      <c r="D5" s="1">
        <f>C5*B5</f>
        <v>0</v>
      </c>
      <c r="E5" s="168"/>
      <c r="H5" s="1"/>
      <c r="I5" s="1"/>
      <c r="J5" s="1"/>
      <c r="K5" s="1"/>
      <c r="L5" s="168"/>
    </row>
    <row r="6" spans="1:12">
      <c r="A6" s="1" t="s">
        <v>166</v>
      </c>
      <c r="B6" s="1">
        <v>1</v>
      </c>
      <c r="C6" s="1">
        <v>1000000</v>
      </c>
      <c r="D6" s="1">
        <f>C6*B6</f>
        <v>1000000</v>
      </c>
      <c r="E6" s="168"/>
      <c r="H6" s="1"/>
      <c r="I6" s="1"/>
      <c r="J6" s="1"/>
      <c r="K6" s="1"/>
      <c r="L6" s="168"/>
    </row>
    <row r="7" spans="1:12">
      <c r="A7" s="1" t="s">
        <v>137</v>
      </c>
      <c r="B7" s="1">
        <v>50</v>
      </c>
      <c r="C7" s="1">
        <v>3300</v>
      </c>
      <c r="D7" s="1">
        <f>C7*B7</f>
        <v>165000</v>
      </c>
      <c r="E7" s="168"/>
      <c r="H7" s="1"/>
      <c r="I7" s="1"/>
      <c r="J7" s="1"/>
      <c r="K7" s="1"/>
      <c r="L7" s="168"/>
    </row>
    <row r="8" spans="1:12">
      <c r="A8" s="1" t="s">
        <v>143</v>
      </c>
      <c r="B8" s="1">
        <v>1</v>
      </c>
      <c r="C8" s="1">
        <v>100000</v>
      </c>
      <c r="D8" s="1">
        <f>C8*B8</f>
        <v>100000</v>
      </c>
      <c r="E8" s="168"/>
      <c r="H8" s="1"/>
      <c r="I8" s="1"/>
      <c r="J8" s="1"/>
      <c r="K8" s="1"/>
      <c r="L8" s="168"/>
    </row>
    <row r="9" spans="1:12">
      <c r="A9" s="185" t="s">
        <v>307</v>
      </c>
      <c r="B9" s="1"/>
      <c r="C9" s="1"/>
      <c r="D9" s="1"/>
      <c r="E9" s="168"/>
      <c r="H9" s="185"/>
      <c r="I9" s="1"/>
      <c r="J9" s="1"/>
      <c r="K9" s="1"/>
      <c r="L9" s="168"/>
    </row>
    <row r="10" spans="1:12">
      <c r="A10" s="1" t="s">
        <v>3</v>
      </c>
      <c r="B10" s="1">
        <v>1</v>
      </c>
      <c r="C10" s="1">
        <v>500000</v>
      </c>
      <c r="D10" s="1">
        <f t="shared" ref="D10:D19" si="0">C10*B10</f>
        <v>500000</v>
      </c>
      <c r="E10" s="169"/>
      <c r="F10" s="7"/>
      <c r="H10" s="1"/>
      <c r="I10" s="1"/>
      <c r="J10" s="1"/>
      <c r="K10" s="1"/>
      <c r="L10" s="169"/>
    </row>
    <row r="11" spans="1:12">
      <c r="A11" s="1" t="s">
        <v>149</v>
      </c>
      <c r="B11" s="1">
        <v>1</v>
      </c>
      <c r="C11" s="1">
        <v>550000</v>
      </c>
      <c r="D11" s="1">
        <f t="shared" si="0"/>
        <v>550000</v>
      </c>
      <c r="E11" s="169"/>
      <c r="F11" s="7"/>
      <c r="H11" s="1"/>
      <c r="I11" s="1"/>
      <c r="J11" s="1"/>
      <c r="K11" s="1"/>
      <c r="L11" s="169"/>
    </row>
    <row r="12" spans="1:12">
      <c r="A12" s="1" t="s">
        <v>164</v>
      </c>
      <c r="B12" s="1">
        <v>1</v>
      </c>
      <c r="C12" s="1">
        <v>100000</v>
      </c>
      <c r="D12" s="1">
        <f t="shared" si="0"/>
        <v>100000</v>
      </c>
      <c r="E12" s="169"/>
      <c r="F12" s="7"/>
      <c r="H12" s="1"/>
      <c r="I12" s="1"/>
      <c r="J12" s="1"/>
      <c r="K12" s="1"/>
      <c r="L12" s="169"/>
    </row>
    <row r="13" spans="1:12">
      <c r="A13" s="1" t="s">
        <v>139</v>
      </c>
      <c r="B13" s="1">
        <v>4</v>
      </c>
      <c r="C13" s="1">
        <v>100000</v>
      </c>
      <c r="D13" s="1">
        <f t="shared" si="0"/>
        <v>400000</v>
      </c>
      <c r="E13" s="169"/>
      <c r="F13" s="7"/>
      <c r="H13" s="1"/>
      <c r="I13" s="1"/>
      <c r="J13" s="1"/>
      <c r="K13" s="1"/>
      <c r="L13" s="169"/>
    </row>
    <row r="14" spans="1:12">
      <c r="A14" s="185" t="s">
        <v>310</v>
      </c>
      <c r="B14" s="1"/>
      <c r="C14" s="1"/>
      <c r="D14" s="1"/>
      <c r="E14" s="169"/>
      <c r="F14" s="7"/>
      <c r="H14" s="185"/>
      <c r="I14" s="1"/>
      <c r="J14" s="1"/>
      <c r="K14" s="1"/>
      <c r="L14" s="169"/>
    </row>
    <row r="15" spans="1:12">
      <c r="A15" s="1" t="s">
        <v>187</v>
      </c>
      <c r="B15" s="1">
        <v>6</v>
      </c>
      <c r="C15" s="1">
        <v>79500</v>
      </c>
      <c r="D15" s="1">
        <f t="shared" si="0"/>
        <v>477000</v>
      </c>
      <c r="E15" s="169"/>
      <c r="F15" s="7"/>
      <c r="H15" s="1"/>
      <c r="I15" s="1"/>
      <c r="J15" s="1"/>
      <c r="K15" s="1"/>
      <c r="L15" s="169"/>
    </row>
    <row r="16" spans="1:12">
      <c r="A16" s="1" t="s">
        <v>188</v>
      </c>
      <c r="B16" s="1">
        <v>20</v>
      </c>
      <c r="C16" s="1">
        <v>29000</v>
      </c>
      <c r="D16" s="1">
        <f t="shared" si="0"/>
        <v>580000</v>
      </c>
      <c r="E16" s="169"/>
      <c r="F16" s="7"/>
      <c r="H16" s="1"/>
      <c r="I16" s="1"/>
      <c r="J16" s="1"/>
      <c r="K16" s="1"/>
      <c r="L16" s="169"/>
    </row>
    <row r="17" spans="1:12">
      <c r="A17" s="1" t="s">
        <v>189</v>
      </c>
      <c r="B17" s="1">
        <v>4</v>
      </c>
      <c r="C17" s="1">
        <v>20000</v>
      </c>
      <c r="D17" s="1">
        <f t="shared" si="0"/>
        <v>80000</v>
      </c>
      <c r="E17" s="169"/>
      <c r="F17" s="7"/>
      <c r="H17" s="1"/>
      <c r="I17" s="1"/>
      <c r="J17" s="1"/>
      <c r="K17" s="1"/>
      <c r="L17" s="169"/>
    </row>
    <row r="18" spans="1:12">
      <c r="A18" s="1" t="s">
        <v>190</v>
      </c>
      <c r="B18" s="1">
        <v>4</v>
      </c>
      <c r="C18" s="1">
        <v>15000</v>
      </c>
      <c r="D18" s="1">
        <f t="shared" si="0"/>
        <v>60000</v>
      </c>
      <c r="E18" s="169"/>
      <c r="F18" s="7"/>
      <c r="H18" s="1"/>
      <c r="I18" s="1"/>
      <c r="J18" s="1"/>
      <c r="K18" s="1"/>
      <c r="L18" s="169"/>
    </row>
    <row r="19" spans="1:12">
      <c r="A19" s="1" t="s">
        <v>191</v>
      </c>
      <c r="B19" s="1">
        <v>15</v>
      </c>
      <c r="C19" s="1">
        <v>10000</v>
      </c>
      <c r="D19" s="1">
        <f t="shared" si="0"/>
        <v>150000</v>
      </c>
      <c r="E19" s="169"/>
      <c r="F19" s="7"/>
      <c r="H19" s="1"/>
      <c r="I19" s="1"/>
      <c r="J19" s="1"/>
      <c r="K19" s="1"/>
      <c r="L19" s="169"/>
    </row>
    <row r="20" spans="1:12">
      <c r="A20" s="185" t="s">
        <v>259</v>
      </c>
      <c r="B20" s="1"/>
      <c r="C20" s="314">
        <v>7.4999999999999997E-2</v>
      </c>
      <c r="D20" s="1">
        <f>SUM(D5:D19)*C20</f>
        <v>312150</v>
      </c>
      <c r="E20" s="169"/>
      <c r="F20" s="7"/>
      <c r="H20" s="185"/>
      <c r="I20" s="1"/>
      <c r="J20" s="1"/>
      <c r="K20" s="1"/>
      <c r="L20" s="169"/>
    </row>
    <row r="21" spans="1:12">
      <c r="A21" s="185" t="s">
        <v>136</v>
      </c>
      <c r="B21" s="1"/>
      <c r="C21" s="1"/>
      <c r="D21" s="1">
        <f>SUM(D5:D20)</f>
        <v>4474150</v>
      </c>
      <c r="E21" s="169"/>
      <c r="F21" s="7"/>
      <c r="H21" s="185"/>
      <c r="I21" s="1"/>
      <c r="J21" s="1"/>
      <c r="K21" s="1"/>
      <c r="L21" s="169"/>
    </row>
    <row r="22" spans="1:12">
      <c r="A22" s="185" t="s">
        <v>153</v>
      </c>
      <c r="B22" s="314">
        <f>30/100</f>
        <v>0.3</v>
      </c>
      <c r="C22" s="1">
        <f>D21</f>
        <v>4474150</v>
      </c>
      <c r="D22" s="1">
        <f>C22*B22</f>
        <v>1342245</v>
      </c>
      <c r="E22" s="168"/>
      <c r="H22" s="185"/>
      <c r="I22" s="1"/>
      <c r="J22" s="1"/>
      <c r="K22" s="1"/>
      <c r="L22" s="168"/>
    </row>
    <row r="23" spans="1:12">
      <c r="A23" s="185" t="s">
        <v>233</v>
      </c>
      <c r="B23" s="1"/>
      <c r="C23" s="1"/>
      <c r="D23" s="185">
        <f>D21+D22</f>
        <v>5816395</v>
      </c>
      <c r="E23" s="168"/>
      <c r="H23" s="185"/>
      <c r="I23" s="1"/>
      <c r="J23" s="1"/>
      <c r="K23" s="185"/>
      <c r="L23" s="168"/>
    </row>
    <row r="24" spans="1:12">
      <c r="A24" s="176" t="s">
        <v>314</v>
      </c>
      <c r="B24" s="176"/>
      <c r="C24" s="176"/>
      <c r="D24" s="240">
        <f>D23/6</f>
        <v>969399.16666666663</v>
      </c>
      <c r="E24" s="168"/>
    </row>
  </sheetData>
  <pageMargins left="0.7" right="0.7" top="0.75" bottom="0.75" header="0.3" footer="0.3"/>
  <pageSetup paperSize="9" orientation="portrait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>
  <dimension ref="A1:F49"/>
  <sheetViews>
    <sheetView topLeftCell="A38" workbookViewId="0">
      <selection activeCell="B47" sqref="B47"/>
    </sheetView>
  </sheetViews>
  <sheetFormatPr defaultColWidth="8.85546875" defaultRowHeight="15"/>
  <cols>
    <col min="1" max="1" width="26.42578125" customWidth="1"/>
    <col min="2" max="2" width="9.42578125" bestFit="1" customWidth="1"/>
    <col min="3" max="4" width="14.28515625" bestFit="1" customWidth="1"/>
  </cols>
  <sheetData>
    <row r="1" spans="1:4">
      <c r="A1" s="179" t="s">
        <v>178</v>
      </c>
      <c r="B1" s="169"/>
      <c r="C1" s="169"/>
      <c r="D1" s="169"/>
    </row>
    <row r="2" spans="1:4">
      <c r="A2" s="180" t="s">
        <v>179</v>
      </c>
      <c r="B2" s="169"/>
      <c r="C2" s="169"/>
      <c r="D2" s="169"/>
    </row>
    <row r="3" spans="1:4">
      <c r="A3" s="169" t="s">
        <v>148</v>
      </c>
      <c r="B3" s="169" t="s">
        <v>1</v>
      </c>
      <c r="C3" s="169" t="s">
        <v>135</v>
      </c>
      <c r="D3" s="169" t="s">
        <v>136</v>
      </c>
    </row>
    <row r="4" spans="1:4">
      <c r="A4" s="169" t="s">
        <v>152</v>
      </c>
      <c r="B4" s="169">
        <v>0</v>
      </c>
      <c r="C4" s="169">
        <v>2000000</v>
      </c>
      <c r="D4" s="169">
        <f>C4*B4</f>
        <v>0</v>
      </c>
    </row>
    <row r="5" spans="1:4">
      <c r="A5" s="169" t="s">
        <v>172</v>
      </c>
      <c r="B5" s="169">
        <v>3</v>
      </c>
      <c r="C5" s="169">
        <v>1000000</v>
      </c>
      <c r="D5" s="169">
        <f>C5*B5</f>
        <v>3000000</v>
      </c>
    </row>
    <row r="6" spans="1:4">
      <c r="A6" s="169" t="s">
        <v>137</v>
      </c>
      <c r="B6" s="169">
        <v>100</v>
      </c>
      <c r="C6" s="169">
        <v>3300</v>
      </c>
      <c r="D6" s="169">
        <f>C6*B6*B5</f>
        <v>990000</v>
      </c>
    </row>
    <row r="7" spans="1:4">
      <c r="A7" s="169" t="s">
        <v>143</v>
      </c>
      <c r="B7" s="169">
        <v>1</v>
      </c>
      <c r="C7" s="169">
        <v>100000</v>
      </c>
      <c r="D7" s="169">
        <f>C7*B7</f>
        <v>100000</v>
      </c>
    </row>
    <row r="8" spans="1:4">
      <c r="A8" s="169" t="s">
        <v>3</v>
      </c>
      <c r="B8" s="169">
        <v>1</v>
      </c>
      <c r="C8" s="169">
        <v>500000</v>
      </c>
      <c r="D8" s="169">
        <f t="shared" ref="D8:D10" si="0">C8*B8</f>
        <v>500000</v>
      </c>
    </row>
    <row r="9" spans="1:4">
      <c r="A9" s="169" t="s">
        <v>150</v>
      </c>
      <c r="B9" s="169">
        <v>1</v>
      </c>
      <c r="C9" s="169">
        <v>100000</v>
      </c>
      <c r="D9" s="169">
        <f t="shared" si="0"/>
        <v>100000</v>
      </c>
    </row>
    <row r="10" spans="1:4">
      <c r="A10" s="169" t="s">
        <v>139</v>
      </c>
      <c r="B10" s="169">
        <v>1</v>
      </c>
      <c r="C10" s="169">
        <v>100000</v>
      </c>
      <c r="D10" s="169">
        <f t="shared" si="0"/>
        <v>100000</v>
      </c>
    </row>
    <row r="11" spans="1:4">
      <c r="A11" s="169" t="s">
        <v>259</v>
      </c>
      <c r="B11" s="169"/>
      <c r="C11" s="319">
        <v>7.4999999999999997E-2</v>
      </c>
      <c r="D11" s="169">
        <f>SUM(D4:D10)*C11</f>
        <v>359250</v>
      </c>
    </row>
    <row r="12" spans="1:4">
      <c r="A12" s="169" t="s">
        <v>163</v>
      </c>
      <c r="B12" s="169"/>
      <c r="C12" s="169"/>
      <c r="D12" s="169">
        <f>SUM(D4:D11)</f>
        <v>5149250</v>
      </c>
    </row>
    <row r="13" spans="1:4">
      <c r="A13" s="169" t="s">
        <v>153</v>
      </c>
      <c r="B13" s="319">
        <f>30/100</f>
        <v>0.3</v>
      </c>
      <c r="C13" s="169">
        <f>D12</f>
        <v>5149250</v>
      </c>
      <c r="D13" s="169">
        <f>C13*B13</f>
        <v>1544775</v>
      </c>
    </row>
    <row r="14" spans="1:4" s="8" customFormat="1">
      <c r="A14" s="169" t="s">
        <v>154</v>
      </c>
      <c r="B14" s="169"/>
      <c r="C14" s="169"/>
      <c r="D14" s="169">
        <f>D12+D13</f>
        <v>6694025</v>
      </c>
    </row>
    <row r="15" spans="1:4">
      <c r="A15" s="180" t="s">
        <v>180</v>
      </c>
      <c r="B15" s="180"/>
      <c r="C15" s="180"/>
      <c r="D15" s="180"/>
    </row>
    <row r="16" spans="1:4">
      <c r="A16" s="169" t="s">
        <v>148</v>
      </c>
      <c r="B16" s="169" t="s">
        <v>1</v>
      </c>
      <c r="C16" s="169" t="s">
        <v>135</v>
      </c>
      <c r="D16" s="169" t="s">
        <v>136</v>
      </c>
    </row>
    <row r="17" spans="1:4">
      <c r="A17" s="169" t="s">
        <v>152</v>
      </c>
      <c r="B17" s="169">
        <v>0</v>
      </c>
      <c r="C17" s="169">
        <v>2000000</v>
      </c>
      <c r="D17" s="169">
        <f>C17*B17</f>
        <v>0</v>
      </c>
    </row>
    <row r="18" spans="1:4">
      <c r="A18" s="169" t="s">
        <v>177</v>
      </c>
      <c r="B18" s="169">
        <v>3</v>
      </c>
      <c r="C18" s="169">
        <v>500000</v>
      </c>
      <c r="D18" s="169">
        <f>C18*B18</f>
        <v>1500000</v>
      </c>
    </row>
    <row r="19" spans="1:4">
      <c r="A19" s="169" t="s">
        <v>176</v>
      </c>
      <c r="B19" s="169">
        <v>50</v>
      </c>
      <c r="C19" s="169"/>
      <c r="D19" s="169"/>
    </row>
    <row r="20" spans="1:4">
      <c r="A20" s="169" t="s">
        <v>137</v>
      </c>
      <c r="B20" s="169">
        <v>150</v>
      </c>
      <c r="C20" s="169">
        <v>3300</v>
      </c>
      <c r="D20" s="169">
        <f>C20*B20*B18</f>
        <v>1485000</v>
      </c>
    </row>
    <row r="21" spans="1:4">
      <c r="A21" s="169" t="s">
        <v>143</v>
      </c>
      <c r="B21" s="169">
        <v>1</v>
      </c>
      <c r="C21" s="169">
        <v>100000</v>
      </c>
      <c r="D21" s="169">
        <f>C21*B21</f>
        <v>100000</v>
      </c>
    </row>
    <row r="22" spans="1:4">
      <c r="A22" s="169" t="s">
        <v>175</v>
      </c>
      <c r="B22" s="169">
        <v>3</v>
      </c>
      <c r="C22" s="169">
        <v>1000000</v>
      </c>
      <c r="D22" s="169">
        <f>C22*B22</f>
        <v>3000000</v>
      </c>
    </row>
    <row r="23" spans="1:4">
      <c r="A23" s="169" t="s">
        <v>137</v>
      </c>
      <c r="B23" s="169">
        <v>100</v>
      </c>
      <c r="C23" s="169">
        <v>3300</v>
      </c>
      <c r="D23" s="169">
        <f>C23*B23*B22</f>
        <v>990000</v>
      </c>
    </row>
    <row r="24" spans="1:4">
      <c r="A24" s="169" t="s">
        <v>143</v>
      </c>
      <c r="B24" s="169">
        <v>1</v>
      </c>
      <c r="C24" s="169">
        <v>100000</v>
      </c>
      <c r="D24" s="169">
        <f>C24*B24</f>
        <v>100000</v>
      </c>
    </row>
    <row r="25" spans="1:4">
      <c r="A25" s="169" t="s">
        <v>259</v>
      </c>
      <c r="B25" s="169"/>
      <c r="C25" s="319">
        <v>7.4999999999999997E-2</v>
      </c>
      <c r="D25" s="169">
        <f>SUM(D20:D24)*C25</f>
        <v>425625</v>
      </c>
    </row>
    <row r="26" spans="1:4">
      <c r="A26" s="169" t="s">
        <v>163</v>
      </c>
      <c r="B26" s="169"/>
      <c r="C26" s="169"/>
      <c r="D26" s="169">
        <f>SUM(D17:D25)</f>
        <v>7600625</v>
      </c>
    </row>
    <row r="27" spans="1:4">
      <c r="A27" s="169" t="s">
        <v>153</v>
      </c>
      <c r="B27" s="319">
        <f>30/100</f>
        <v>0.3</v>
      </c>
      <c r="C27" s="169">
        <f>D26</f>
        <v>7600625</v>
      </c>
      <c r="D27" s="169">
        <f>C27*B27</f>
        <v>2280187.5</v>
      </c>
    </row>
    <row r="28" spans="1:4">
      <c r="A28" s="169" t="s">
        <v>154</v>
      </c>
      <c r="B28" s="169"/>
      <c r="C28" s="169"/>
      <c r="D28" s="169">
        <f>D26+D27</f>
        <v>9880812.5</v>
      </c>
    </row>
    <row r="29" spans="1:4">
      <c r="A29" s="180" t="s">
        <v>181</v>
      </c>
      <c r="B29" s="169"/>
      <c r="C29" s="169"/>
      <c r="D29" s="169"/>
    </row>
    <row r="30" spans="1:4">
      <c r="A30" s="169" t="s">
        <v>148</v>
      </c>
      <c r="B30" s="169" t="s">
        <v>1</v>
      </c>
      <c r="C30" s="169" t="s">
        <v>135</v>
      </c>
      <c r="D30" s="169" t="s">
        <v>136</v>
      </c>
    </row>
    <row r="31" spans="1:4">
      <c r="A31" s="169" t="s">
        <v>152</v>
      </c>
      <c r="B31" s="169">
        <v>0</v>
      </c>
      <c r="C31" s="169">
        <v>2000000</v>
      </c>
      <c r="D31" s="169">
        <f>C31*B31</f>
        <v>0</v>
      </c>
    </row>
    <row r="32" spans="1:4">
      <c r="A32" s="169" t="s">
        <v>182</v>
      </c>
      <c r="B32" s="169">
        <v>3</v>
      </c>
      <c r="C32" s="169">
        <v>1000000</v>
      </c>
      <c r="D32" s="169">
        <f>C32*B32</f>
        <v>3000000</v>
      </c>
    </row>
    <row r="33" spans="1:6">
      <c r="A33" s="169" t="s">
        <v>137</v>
      </c>
      <c r="B33" s="169">
        <v>80</v>
      </c>
      <c r="C33" s="169">
        <v>3300</v>
      </c>
      <c r="D33" s="169">
        <f>C33*B33*B32</f>
        <v>792000</v>
      </c>
    </row>
    <row r="34" spans="1:6">
      <c r="A34" s="169" t="s">
        <v>143</v>
      </c>
      <c r="B34" s="169">
        <v>3</v>
      </c>
      <c r="C34" s="169">
        <v>100000</v>
      </c>
      <c r="D34" s="169">
        <f>C34*B34</f>
        <v>300000</v>
      </c>
    </row>
    <row r="35" spans="1:6">
      <c r="A35" s="169" t="s">
        <v>184</v>
      </c>
      <c r="B35" s="169">
        <v>3</v>
      </c>
      <c r="C35" s="169">
        <v>500000</v>
      </c>
      <c r="D35" s="169">
        <f>C35*B35</f>
        <v>1500000</v>
      </c>
    </row>
    <row r="36" spans="1:6">
      <c r="A36" s="169" t="s">
        <v>137</v>
      </c>
      <c r="B36" s="169">
        <v>50</v>
      </c>
      <c r="C36" s="169">
        <v>3300</v>
      </c>
      <c r="D36" s="169">
        <f>C36*B36*B35</f>
        <v>495000</v>
      </c>
    </row>
    <row r="37" spans="1:6">
      <c r="A37" s="169" t="s">
        <v>143</v>
      </c>
      <c r="B37" s="169">
        <v>3</v>
      </c>
      <c r="C37" s="169">
        <v>100000</v>
      </c>
      <c r="D37" s="169">
        <f>C37*B37</f>
        <v>300000</v>
      </c>
    </row>
    <row r="38" spans="1:6">
      <c r="A38" s="169" t="s">
        <v>183</v>
      </c>
      <c r="B38" s="169">
        <v>3</v>
      </c>
      <c r="C38" s="169">
        <v>600000</v>
      </c>
      <c r="D38" s="169">
        <f>C38*B38</f>
        <v>1800000</v>
      </c>
    </row>
    <row r="39" spans="1:6">
      <c r="A39" s="169" t="s">
        <v>137</v>
      </c>
      <c r="B39" s="169">
        <v>100</v>
      </c>
      <c r="C39" s="169">
        <v>3300</v>
      </c>
      <c r="D39" s="169">
        <f>C39*B39*B38</f>
        <v>990000</v>
      </c>
    </row>
    <row r="40" spans="1:6">
      <c r="A40" s="169" t="s">
        <v>143</v>
      </c>
      <c r="B40" s="169">
        <v>3</v>
      </c>
      <c r="C40" s="169">
        <v>100000</v>
      </c>
      <c r="D40" s="169">
        <f>C40*B40</f>
        <v>300000</v>
      </c>
    </row>
    <row r="41" spans="1:6">
      <c r="A41" s="169" t="s">
        <v>3</v>
      </c>
      <c r="B41" s="169">
        <v>1</v>
      </c>
      <c r="C41" s="169">
        <v>500000</v>
      </c>
      <c r="D41" s="169">
        <f t="shared" ref="D41:D44" si="1">C41*B41</f>
        <v>500000</v>
      </c>
    </row>
    <row r="42" spans="1:6">
      <c r="A42" s="169" t="s">
        <v>149</v>
      </c>
      <c r="B42" s="169">
        <v>1</v>
      </c>
      <c r="C42" s="169">
        <v>550000</v>
      </c>
      <c r="D42" s="169">
        <f t="shared" si="1"/>
        <v>550000</v>
      </c>
    </row>
    <row r="43" spans="1:6">
      <c r="A43" s="169" t="s">
        <v>150</v>
      </c>
      <c r="B43" s="169">
        <v>1</v>
      </c>
      <c r="C43" s="169">
        <v>100000</v>
      </c>
      <c r="D43" s="169">
        <f t="shared" si="1"/>
        <v>100000</v>
      </c>
    </row>
    <row r="44" spans="1:6">
      <c r="A44" s="169" t="s">
        <v>139</v>
      </c>
      <c r="B44" s="169">
        <v>1</v>
      </c>
      <c r="C44" s="169">
        <v>100000</v>
      </c>
      <c r="D44" s="169">
        <f t="shared" si="1"/>
        <v>100000</v>
      </c>
    </row>
    <row r="45" spans="1:6">
      <c r="A45" s="169" t="s">
        <v>259</v>
      </c>
      <c r="B45" s="169"/>
      <c r="C45" s="319">
        <v>7.4999999999999997E-2</v>
      </c>
      <c r="D45" s="169">
        <f>SUM(D31:D44)*C45</f>
        <v>804525</v>
      </c>
    </row>
    <row r="46" spans="1:6">
      <c r="A46" s="169" t="s">
        <v>163</v>
      </c>
      <c r="B46" s="169"/>
      <c r="C46" s="169"/>
      <c r="D46" s="169">
        <f>SUM(D31:D45)</f>
        <v>11531525</v>
      </c>
      <c r="E46" s="169"/>
      <c r="F46" s="169"/>
    </row>
    <row r="47" spans="1:6">
      <c r="A47" s="169" t="s">
        <v>153</v>
      </c>
      <c r="B47" s="319">
        <f>30/100</f>
        <v>0.3</v>
      </c>
      <c r="C47" s="169">
        <f>D46</f>
        <v>11531525</v>
      </c>
      <c r="D47" s="169">
        <f>C47*B47</f>
        <v>3459457.5</v>
      </c>
    </row>
    <row r="48" spans="1:6">
      <c r="A48" s="169" t="s">
        <v>154</v>
      </c>
      <c r="B48" s="169"/>
      <c r="C48" s="169"/>
      <c r="D48" s="169">
        <f>D46+D47</f>
        <v>14990982.5</v>
      </c>
    </row>
    <row r="49" spans="1:4">
      <c r="A49" s="169" t="s">
        <v>185</v>
      </c>
      <c r="B49" s="169"/>
      <c r="C49" s="169"/>
      <c r="D49" s="169">
        <f>D28+D48</f>
        <v>24871795</v>
      </c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>
  <dimension ref="A1:L20"/>
  <sheetViews>
    <sheetView workbookViewId="0">
      <selection activeCell="C12" sqref="C12"/>
    </sheetView>
  </sheetViews>
  <sheetFormatPr defaultColWidth="8.85546875" defaultRowHeight="15"/>
  <cols>
    <col min="1" max="1" width="31.42578125" customWidth="1"/>
    <col min="2" max="2" width="22" customWidth="1"/>
    <col min="3" max="3" width="16.42578125" customWidth="1"/>
    <col min="4" max="4" width="21" customWidth="1"/>
    <col min="5" max="5" width="25.140625" customWidth="1"/>
  </cols>
  <sheetData>
    <row r="1" spans="1:12" ht="15.75" thickBot="1">
      <c r="A1" s="187"/>
      <c r="B1" s="187"/>
      <c r="C1" s="187"/>
      <c r="D1" s="187"/>
      <c r="E1" s="187"/>
    </row>
    <row r="2" spans="1:12" ht="15.95" customHeight="1" thickBot="1">
      <c r="A2" s="188" t="s">
        <v>231</v>
      </c>
      <c r="B2" s="188" t="s">
        <v>12</v>
      </c>
      <c r="C2" s="188" t="s">
        <v>232</v>
      </c>
      <c r="D2" s="188" t="s">
        <v>233</v>
      </c>
      <c r="E2" s="188" t="s">
        <v>129</v>
      </c>
    </row>
    <row r="3" spans="1:12" ht="15.95" customHeight="1" thickTop="1" thickBot="1">
      <c r="A3" s="189" t="s">
        <v>247</v>
      </c>
      <c r="B3" s="189"/>
      <c r="C3" s="190"/>
      <c r="D3" s="190"/>
      <c r="E3" s="190"/>
    </row>
    <row r="4" spans="1:12" ht="15.95" customHeight="1" thickBot="1">
      <c r="A4" s="191" t="s">
        <v>248</v>
      </c>
      <c r="B4" s="191" t="s">
        <v>249</v>
      </c>
      <c r="C4" s="192">
        <v>45</v>
      </c>
      <c r="D4" s="192">
        <v>30000</v>
      </c>
      <c r="E4" s="192">
        <f>D4*C4</f>
        <v>1350000</v>
      </c>
    </row>
    <row r="5" spans="1:12" ht="15.95" customHeight="1" thickBot="1">
      <c r="A5" s="193" t="s">
        <v>234</v>
      </c>
      <c r="B5" s="193" t="s">
        <v>250</v>
      </c>
      <c r="C5" s="194">
        <v>1000</v>
      </c>
      <c r="D5" s="194">
        <v>580</v>
      </c>
      <c r="E5" s="194">
        <f>D5*C5</f>
        <v>580000</v>
      </c>
    </row>
    <row r="6" spans="1:12" ht="15.95" customHeight="1" thickBot="1">
      <c r="A6" s="195" t="s">
        <v>235</v>
      </c>
      <c r="B6" s="195" t="s">
        <v>249</v>
      </c>
      <c r="C6" s="196">
        <v>70</v>
      </c>
      <c r="D6" s="196">
        <v>25000</v>
      </c>
      <c r="E6" s="196">
        <f>D6*C6</f>
        <v>1750000</v>
      </c>
      <c r="K6" s="186" t="s">
        <v>256</v>
      </c>
      <c r="L6" s="186">
        <v>150000</v>
      </c>
    </row>
    <row r="7" spans="1:12" ht="15.95" customHeight="1" thickBot="1">
      <c r="A7" s="193" t="s">
        <v>236</v>
      </c>
      <c r="B7" s="193" t="s">
        <v>251</v>
      </c>
      <c r="C7" s="194">
        <v>20</v>
      </c>
      <c r="D7" s="194">
        <v>1000</v>
      </c>
      <c r="E7" s="194">
        <f>D7*C7</f>
        <v>20000</v>
      </c>
      <c r="K7" s="186" t="s">
        <v>257</v>
      </c>
      <c r="L7" s="186">
        <v>20000</v>
      </c>
    </row>
    <row r="8" spans="1:12" ht="15.95" customHeight="1" thickBot="1">
      <c r="A8" s="195" t="s">
        <v>237</v>
      </c>
      <c r="B8" s="195"/>
      <c r="C8" s="196"/>
      <c r="D8" s="196"/>
      <c r="E8" s="196"/>
    </row>
    <row r="9" spans="1:12" ht="15.95" customHeight="1" thickBot="1">
      <c r="A9" s="193" t="s">
        <v>238</v>
      </c>
      <c r="B9" s="193" t="s">
        <v>252</v>
      </c>
      <c r="C9" s="194">
        <v>8</v>
      </c>
      <c r="D9" s="194">
        <v>3750</v>
      </c>
      <c r="E9" s="194">
        <f>D9*C9</f>
        <v>30000</v>
      </c>
    </row>
    <row r="10" spans="1:12" ht="15.95" customHeight="1" thickBot="1">
      <c r="A10" s="195" t="s">
        <v>239</v>
      </c>
      <c r="B10" s="195" t="s">
        <v>252</v>
      </c>
      <c r="C10" s="196">
        <v>8</v>
      </c>
      <c r="D10" s="196">
        <v>1875</v>
      </c>
      <c r="E10" s="196">
        <f>D10*C10</f>
        <v>15000</v>
      </c>
    </row>
    <row r="11" spans="1:12" ht="15.95" customHeight="1" thickBot="1">
      <c r="A11" s="193" t="s">
        <v>240</v>
      </c>
      <c r="B11" s="193"/>
      <c r="C11" s="194"/>
      <c r="D11" s="194"/>
      <c r="E11" s="194"/>
    </row>
    <row r="12" spans="1:12" ht="15.95" customHeight="1" thickBot="1">
      <c r="A12" s="195" t="s">
        <v>241</v>
      </c>
      <c r="B12" s="195" t="s">
        <v>255</v>
      </c>
      <c r="C12" s="196">
        <v>20</v>
      </c>
      <c r="D12" s="196">
        <v>3300</v>
      </c>
      <c r="E12" s="196">
        <f>D12*C12</f>
        <v>66000</v>
      </c>
    </row>
    <row r="13" spans="1:12" ht="15.95" customHeight="1" thickBot="1">
      <c r="A13" s="193" t="s">
        <v>242</v>
      </c>
      <c r="B13" s="193" t="s">
        <v>253</v>
      </c>
      <c r="C13" s="194">
        <v>1</v>
      </c>
      <c r="D13" s="194">
        <v>180000</v>
      </c>
      <c r="E13" s="194">
        <f>D13*C13</f>
        <v>180000</v>
      </c>
    </row>
    <row r="14" spans="1:12" ht="15.95" customHeight="1" thickBot="1">
      <c r="A14" s="193" t="s">
        <v>254</v>
      </c>
      <c r="B14" s="193"/>
      <c r="C14" s="194"/>
      <c r="D14" s="194"/>
      <c r="E14" s="194">
        <f>E4+E5+E6+E7+E9+E10+E12+E13</f>
        <v>3991000</v>
      </c>
    </row>
    <row r="15" spans="1:12" ht="15.95" customHeight="1" thickBot="1">
      <c r="A15" s="195" t="s">
        <v>243</v>
      </c>
      <c r="B15" s="195"/>
      <c r="C15" s="196"/>
      <c r="D15" s="196"/>
      <c r="E15" s="196">
        <f>15/100*E14</f>
        <v>598650</v>
      </c>
    </row>
    <row r="16" spans="1:12" ht="15.95" customHeight="1" thickBot="1">
      <c r="A16" s="193" t="s">
        <v>244</v>
      </c>
      <c r="B16" s="193"/>
      <c r="C16" s="194"/>
      <c r="D16" s="194"/>
      <c r="E16" s="194">
        <f>E14+E15</f>
        <v>4589650</v>
      </c>
      <c r="H16">
        <v>38201275</v>
      </c>
    </row>
    <row r="17" spans="1:8" ht="15.95" customHeight="1" thickBot="1">
      <c r="A17" s="195" t="s">
        <v>0</v>
      </c>
      <c r="B17" s="195"/>
      <c r="C17" s="196"/>
      <c r="D17" s="196"/>
      <c r="E17" s="196">
        <f>H18</f>
        <v>3820127.5</v>
      </c>
      <c r="H17">
        <v>0.1</v>
      </c>
    </row>
    <row r="18" spans="1:8" ht="15.95" customHeight="1" thickBot="1">
      <c r="A18" s="193" t="s">
        <v>245</v>
      </c>
      <c r="B18" s="193"/>
      <c r="C18" s="194"/>
      <c r="D18" s="194"/>
      <c r="E18" s="194"/>
      <c r="H18">
        <f>H16*H17</f>
        <v>3820127.5</v>
      </c>
    </row>
    <row r="19" spans="1:8" ht="15.95" customHeight="1" thickBot="1">
      <c r="A19" s="195" t="s">
        <v>246</v>
      </c>
      <c r="B19" s="195"/>
      <c r="C19" s="196"/>
      <c r="D19" s="196"/>
      <c r="E19" s="196"/>
    </row>
    <row r="20" spans="1:8">
      <c r="A20" s="197"/>
      <c r="B20" s="197"/>
      <c r="C20" s="197"/>
      <c r="D20" s="197"/>
      <c r="E20" s="198">
        <f>E16+E17</f>
        <v>8409777.5</v>
      </c>
    </row>
  </sheetData>
  <pageMargins left="0.7" right="0.7" top="0.75" bottom="0.75" header="0.3" footer="0.3"/>
  <pageSetup orientation="portrait"/>
  <legacyDrawing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7FBBE45A02FF43B2DB012F633F9BF5" ma:contentTypeVersion="0" ma:contentTypeDescription="Create a new document." ma:contentTypeScope="" ma:versionID="1cd96de4538a9ea783765af400c6966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da0bab1e00c84e9291a2a9b340ddbcd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61003E-B6B7-42FA-9833-2A5E3EDA7FCC}"/>
</file>

<file path=customXml/itemProps2.xml><?xml version="1.0" encoding="utf-8"?>
<ds:datastoreItem xmlns:ds="http://schemas.openxmlformats.org/officeDocument/2006/customXml" ds:itemID="{A38AE109-A102-4D25-9C43-7B4507D01D8B}"/>
</file>

<file path=customXml/itemProps3.xml><?xml version="1.0" encoding="utf-8"?>
<ds:datastoreItem xmlns:ds="http://schemas.openxmlformats.org/officeDocument/2006/customXml" ds:itemID="{05C04CCC-9A4B-42DB-A713-44AB09E25F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sh</vt:lpstr>
      <vt:lpstr>Assumptions</vt:lpstr>
      <vt:lpstr>BOQ</vt:lpstr>
      <vt:lpstr>Construct &amp; maint of  Access Rd</vt:lpstr>
      <vt:lpstr>Setting out and site clearance </vt:lpstr>
      <vt:lpstr>Earth Works</vt:lpstr>
      <vt:lpstr>Drainage Works</vt:lpstr>
      <vt:lpstr>Graveling</vt:lpstr>
      <vt:lpstr>Rate Drainage works</vt:lpstr>
      <vt:lpstr>Labour  Rates</vt:lpstr>
      <vt:lpstr>Equipment rates</vt:lpstr>
      <vt:lpstr>S</vt:lpstr>
      <vt:lpstr>Staff rate computation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2013-11-26T09:13:50Z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0x010100DA7FBBE45A02FF43B2DB012F633F9BF5</vt:lpwstr>
  </property>
</Properties>
</file>