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4.xml" ContentType="application/vnd.openxmlformats-officedocument.spreadsheetml.worksheet+xml"/>
  <Override PartName="/xl/worksheets/sheet21.xml" ContentType="application/vnd.openxmlformats-officedocument.spreadsheetml.worksheet+xml"/>
  <Override PartName="/xl/worksheets/sheet35.xml" ContentType="application/vnd.openxmlformats-officedocument.spreadsheetml.worksheet+xml"/>
  <Override PartName="/xl/worksheets/sheet20.xml" ContentType="application/vnd.openxmlformats-officedocument.spreadsheetml.worksheet+xml"/>
  <Override PartName="/xl/worksheets/sheet36.xml" ContentType="application/vnd.openxmlformats-officedocument.spreadsheetml.worksheet+xml"/>
  <Override PartName="/xl/worksheets/sheet19.xml" ContentType="application/vnd.openxmlformats-officedocument.spreadsheetml.worksheet+xml"/>
  <Override PartName="/xl/worksheets/sheet3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23.xml" ContentType="application/vnd.openxmlformats-officedocument.spreadsheetml.worksheet+xml"/>
  <Override PartName="/xl/worksheets/sheet29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worksheets/sheet25.xml" ContentType="application/vnd.openxmlformats-officedocument.spreadsheetml.worksheet+xml"/>
  <Override PartName="/xl/worksheets/sheet31.xml" ContentType="application/vnd.openxmlformats-officedocument.spreadsheetml.worksheet+xml"/>
  <Override PartName="/xl/worksheets/sheet24.xml" ContentType="application/vnd.openxmlformats-officedocument.spreadsheetml.worksheet+xml"/>
  <Override PartName="/xl/worksheets/sheet32.xml" ContentType="application/vnd.openxmlformats-officedocument.spreadsheetml.worksheet+xml"/>
  <Override PartName="/xl/worksheets/sheet38.xml" ContentType="application/vnd.openxmlformats-officedocument.spreadsheetml.worksheet+xml"/>
  <Override PartName="/xl/worksheets/sheet17.xml" ContentType="application/vnd.openxmlformats-officedocument.spreadsheetml.worksheet+xml"/>
  <Override PartName="/xl/worksheets/sheet39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40.xml" ContentType="application/vnd.openxmlformats-officedocument.spreadsheetml.worksheet+xml"/>
  <Override PartName="/xl/worksheets/sheet15.xml" ContentType="application/vnd.openxmlformats-officedocument.spreadsheetml.worksheet+xml"/>
  <Override PartName="/xl/worksheets/sheet41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worksheets/sheet28.xml" ContentType="application/vnd.openxmlformats-officedocument.spreadsheetml.worksheet+xml"/>
  <Override PartName="/xl/comments20.xml" ContentType="application/vnd.openxmlformats-officedocument.spreadsheetml.comments+xml"/>
  <Override PartName="/xl/comments23.xml" ContentType="application/vnd.openxmlformats-officedocument.spreadsheetml.comments+xml"/>
  <Override PartName="/xl/comments10.xml" ContentType="application/vnd.openxmlformats-officedocument.spreadsheetml.comments+xml"/>
  <Override PartName="/xl/comments9.xml" ContentType="application/vnd.openxmlformats-officedocument.spreadsheetml.comments+xml"/>
  <Override PartName="/xl/comments8.xml" ContentType="application/vnd.openxmlformats-officedocument.spreadsheetml.comments+xml"/>
  <Override PartName="/xl/comments7.xml" ContentType="application/vnd.openxmlformats-officedocument.spreadsheetml.comments+xml"/>
  <Override PartName="/xl/comments1.xml" ContentType="application/vnd.openxmlformats-officedocument.spreadsheetml.comments+xml"/>
  <Override PartName="/xl/comments6.xml" ContentType="application/vnd.openxmlformats-officedocument.spreadsheetml.comments+xml"/>
  <Override PartName="/xl/comments5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22.xml" ContentType="application/vnd.openxmlformats-officedocument.spreadsheetml.comments+xml"/>
  <Override PartName="/xl/comments21.xml" ContentType="application/vnd.openxmlformats-officedocument.spreadsheetml.comments+xml"/>
  <Override PartName="/xl/comments3.xml" ContentType="application/vnd.openxmlformats-officedocument.spreadsheetml.comments+xml"/>
  <Override PartName="/xl/comments19.xml" ContentType="application/vnd.openxmlformats-officedocument.spreadsheetml.comments+xml"/>
  <Override PartName="/xl/comments18.xml" ContentType="application/vnd.openxmlformats-officedocument.spreadsheetml.comments+xml"/>
  <Override PartName="/xl/comments17.xml" ContentType="application/vnd.openxmlformats-officedocument.spreadsheetml.comments+xml"/>
  <Override PartName="/xl/comments16.xml" ContentType="application/vnd.openxmlformats-officedocument.spreadsheetml.comments+xml"/>
  <Override PartName="/xl/comments15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/>
  <bookViews>
    <workbookView xWindow="460" yWindow="460" windowWidth="16000" windowHeight="13540" firstSheet="11" activeTab="11"/>
  </bookViews>
  <sheets>
    <sheet name="ZBB Bid" sheetId="1" r:id="rId1"/>
    <sheet name="Incremental Bid" sheetId="19" r:id="rId2"/>
    <sheet name=" Actual" sheetId="2" r:id="rId3"/>
    <sheet name="Variance analysis" sheetId="3" r:id="rId4"/>
    <sheet name="Impact of taxation" sheetId="4" state="hidden" r:id="rId5"/>
    <sheet name=" P&amp;L 2006-07" sheetId="5" r:id="rId6"/>
    <sheet name="BS 2006-07" sheetId="6" r:id="rId7"/>
    <sheet name="CF 2007" sheetId="7" r:id="rId8"/>
    <sheet name="Projects evaluation" sheetId="8" r:id="rId9"/>
    <sheet name="Capital forecast" sheetId="15" r:id="rId10"/>
    <sheet name="Unit cost and price" sheetId="10" r:id="rId11"/>
    <sheet name="Year 1 IS Projection" sheetId="13" r:id="rId12"/>
    <sheet name="Scenario 1" sheetId="21" r:id="rId13"/>
    <sheet name="Year 1 IS Projection (2)" sheetId="23" r:id="rId14"/>
    <sheet name="Year 1 IS Projection (5)" sheetId="32" r:id="rId15"/>
    <sheet name="Year 1 IS Projection (7)" sheetId="33" r:id="rId16"/>
    <sheet name="Year 1 IS Projection (8)" sheetId="34" r:id="rId17"/>
    <sheet name="Year 1 CF Projection" sheetId="14" r:id="rId18"/>
    <sheet name="Year 1 CF Projection (2)" sheetId="24" r:id="rId19"/>
    <sheet name="Year 1 CF Projection (3)" sheetId="28" r:id="rId20"/>
    <sheet name="Year 1 CF Projection (4)" sheetId="30" r:id="rId21"/>
    <sheet name="Year 1 CF Projection (5)" sheetId="35" r:id="rId22"/>
    <sheet name="Year 1 CF Projection (6)" sheetId="36" r:id="rId23"/>
    <sheet name="Year 1 CF Projection (7)" sheetId="37" r:id="rId24"/>
    <sheet name="Year 1 CF Projection (8)" sheetId="38" r:id="rId25"/>
    <sheet name="Interest" sheetId="20" r:id="rId26"/>
    <sheet name="5 Yr IS Projections" sheetId="11" r:id="rId27"/>
    <sheet name="5 Yr IS Projections (2)" sheetId="25" r:id="rId28"/>
    <sheet name="5 Yr IS Projections (5)" sheetId="39" r:id="rId29"/>
    <sheet name="5 Yr IS Projections (8)" sheetId="41" r:id="rId30"/>
    <sheet name="5 Yr CF Projections" sheetId="12" r:id="rId31"/>
    <sheet name="5 Yr CF Projections (2)" sheetId="43" r:id="rId32"/>
    <sheet name="5 Yr CF Projections (3)" sheetId="29" r:id="rId33"/>
    <sheet name="5 Yr CF Projections (4)" sheetId="31" r:id="rId34"/>
    <sheet name="Model  incomes statements " sheetId="16" state="hidden" r:id="rId35"/>
    <sheet name="Model cashflows" sheetId="17" state="hidden" r:id="rId36"/>
    <sheet name="10 km actual" sheetId="18" state="hidden" r:id="rId37"/>
    <sheet name="5 Yr CF Projections (5)" sheetId="44" r:id="rId38"/>
    <sheet name="5 Yr CF Projections (6)" sheetId="45" r:id="rId39"/>
    <sheet name="5 Yr CF Projections (7)" sheetId="46" r:id="rId40"/>
    <sheet name="5 Yr CF Projections (8)" sheetId="27" r:id="rId41"/>
  </sheets>
  <definedNames>
    <definedName name="One__O">'Capital forecast'!$C$28:$E$30</definedName>
  </definedNames>
  <calcPr calcId="130406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30" i="2"/>
  <c r="H31"/>
  <c r="D31"/>
  <c r="D29"/>
  <c r="D23"/>
  <c r="D24"/>
  <c r="D25"/>
  <c r="D26"/>
  <c r="D27"/>
  <c r="D28"/>
  <c r="D35"/>
  <c r="D11"/>
  <c r="D10"/>
  <c r="D9"/>
  <c r="D3"/>
  <c r="D4"/>
  <c r="D5"/>
  <c r="D6"/>
  <c r="D7"/>
  <c r="D8"/>
  <c r="D15"/>
  <c r="D13"/>
  <c r="D33"/>
  <c r="G7"/>
  <c r="H30"/>
  <c r="H29"/>
  <c r="H32"/>
  <c r="G6"/>
  <c r="G8"/>
  <c r="G19" i="5"/>
  <c r="G9"/>
  <c r="G10"/>
  <c r="G20"/>
  <c r="D19"/>
  <c r="D9"/>
  <c r="D10"/>
  <c r="D20"/>
  <c r="H5" i="18"/>
  <c r="I5"/>
  <c r="M11"/>
  <c r="M10"/>
  <c r="M9"/>
  <c r="M8"/>
  <c r="M7"/>
  <c r="M6"/>
  <c r="M5"/>
  <c r="K4"/>
  <c r="L4"/>
  <c r="M4"/>
  <c r="H4"/>
  <c r="J3"/>
  <c r="K3"/>
  <c r="L3"/>
  <c r="M3"/>
  <c r="E3"/>
  <c r="H3"/>
  <c r="H13"/>
  <c r="I13"/>
  <c r="E10"/>
  <c r="C16"/>
  <c r="E11"/>
  <c r="H11"/>
  <c r="I11"/>
  <c r="E9"/>
  <c r="H9"/>
  <c r="I9"/>
  <c r="E8"/>
  <c r="H8"/>
  <c r="I8"/>
  <c r="H7"/>
  <c r="I7"/>
  <c r="E6"/>
  <c r="H6"/>
  <c r="G6"/>
  <c r="I6"/>
  <c r="I4"/>
  <c r="G3"/>
  <c r="G12"/>
  <c r="G14"/>
  <c r="I3"/>
  <c r="E12"/>
  <c r="H10"/>
  <c r="I10"/>
  <c r="J12"/>
  <c r="E13"/>
  <c r="E14"/>
  <c r="H12"/>
  <c r="H14"/>
  <c r="I14"/>
  <c r="I12"/>
  <c r="J14"/>
  <c r="C28" i="12"/>
  <c r="H28"/>
  <c r="H26"/>
  <c r="H4"/>
  <c r="D5"/>
  <c r="E5"/>
  <c r="F5"/>
  <c r="G5"/>
  <c r="C13"/>
  <c r="H13"/>
  <c r="C7"/>
  <c r="H7"/>
  <c r="C12"/>
  <c r="H12"/>
  <c r="C8"/>
  <c r="H8"/>
  <c r="D23"/>
  <c r="C11"/>
  <c r="H11"/>
  <c r="C21"/>
  <c r="D21"/>
  <c r="E21"/>
  <c r="F21"/>
  <c r="G21"/>
  <c r="C22"/>
  <c r="D22"/>
  <c r="E22"/>
  <c r="F22"/>
  <c r="G22"/>
  <c r="H21"/>
  <c r="C15"/>
  <c r="D15"/>
  <c r="E15"/>
  <c r="F15"/>
  <c r="G15"/>
  <c r="C16"/>
  <c r="D16"/>
  <c r="E16"/>
  <c r="F16"/>
  <c r="G16"/>
  <c r="C18"/>
  <c r="D18"/>
  <c r="E18"/>
  <c r="F18"/>
  <c r="G18"/>
  <c r="C19"/>
  <c r="D19"/>
  <c r="E19"/>
  <c r="F19"/>
  <c r="G19"/>
  <c r="C17"/>
  <c r="D17"/>
  <c r="E17"/>
  <c r="F17"/>
  <c r="G17"/>
  <c r="C20"/>
  <c r="D20"/>
  <c r="E20"/>
  <c r="F20"/>
  <c r="G20"/>
  <c r="H22"/>
  <c r="E23"/>
  <c r="H20"/>
  <c r="H17"/>
  <c r="H19"/>
  <c r="H18"/>
  <c r="H16"/>
  <c r="H15"/>
  <c r="F23"/>
  <c r="C23"/>
  <c r="H23"/>
  <c r="C14"/>
  <c r="D14"/>
  <c r="E14"/>
  <c r="F14"/>
  <c r="D6"/>
  <c r="D9"/>
  <c r="G14"/>
  <c r="H14"/>
  <c r="C25"/>
  <c r="E6"/>
  <c r="E9"/>
  <c r="F6"/>
  <c r="F9"/>
  <c r="G6"/>
  <c r="G9"/>
  <c r="D24"/>
  <c r="E24"/>
  <c r="F24"/>
  <c r="G24"/>
  <c r="H24"/>
  <c r="D25"/>
  <c r="D27"/>
  <c r="E25"/>
  <c r="F25"/>
  <c r="G25"/>
  <c r="H25"/>
  <c r="E27"/>
  <c r="F27"/>
  <c r="G27"/>
  <c r="C6"/>
  <c r="H6"/>
  <c r="C9"/>
  <c r="H9"/>
  <c r="C27"/>
  <c r="H27"/>
  <c r="H29"/>
  <c r="C29"/>
  <c r="D28"/>
  <c r="D29"/>
  <c r="E28"/>
  <c r="E29"/>
  <c r="F28"/>
  <c r="F29"/>
  <c r="G28"/>
  <c r="G29"/>
  <c r="C31"/>
  <c r="C32"/>
  <c r="D31"/>
  <c r="D32"/>
  <c r="E31"/>
  <c r="E32"/>
  <c r="F31"/>
  <c r="F32"/>
  <c r="G31"/>
  <c r="G32"/>
  <c r="H32"/>
  <c r="C28" i="43"/>
  <c r="H28"/>
  <c r="H26"/>
  <c r="D5"/>
  <c r="E5"/>
  <c r="F5"/>
  <c r="G5"/>
  <c r="H4"/>
  <c r="F23"/>
  <c r="E23"/>
  <c r="D23"/>
  <c r="C23"/>
  <c r="H23"/>
  <c r="C22"/>
  <c r="D22"/>
  <c r="E22"/>
  <c r="F22"/>
  <c r="G22"/>
  <c r="C21"/>
  <c r="D21"/>
  <c r="E21"/>
  <c r="F21"/>
  <c r="G21"/>
  <c r="C20"/>
  <c r="D20"/>
  <c r="E20"/>
  <c r="F20"/>
  <c r="G20"/>
  <c r="C19"/>
  <c r="D19"/>
  <c r="E19"/>
  <c r="F19"/>
  <c r="G19"/>
  <c r="C18"/>
  <c r="D18"/>
  <c r="E18"/>
  <c r="F18"/>
  <c r="G18"/>
  <c r="C17"/>
  <c r="D17"/>
  <c r="E17"/>
  <c r="F17"/>
  <c r="G17"/>
  <c r="C16"/>
  <c r="D16"/>
  <c r="E16"/>
  <c r="F16"/>
  <c r="G16"/>
  <c r="C15"/>
  <c r="D15"/>
  <c r="E15"/>
  <c r="F15"/>
  <c r="G15"/>
  <c r="C13"/>
  <c r="H13"/>
  <c r="C12"/>
  <c r="H12"/>
  <c r="C11"/>
  <c r="H11"/>
  <c r="C8"/>
  <c r="H8"/>
  <c r="C7"/>
  <c r="H7"/>
  <c r="C14"/>
  <c r="D14"/>
  <c r="E14"/>
  <c r="H15"/>
  <c r="H16"/>
  <c r="H17"/>
  <c r="H18"/>
  <c r="H19"/>
  <c r="H20"/>
  <c r="H21"/>
  <c r="H22"/>
  <c r="F14"/>
  <c r="G14"/>
  <c r="H14"/>
  <c r="D6"/>
  <c r="D9"/>
  <c r="E6"/>
  <c r="E9"/>
  <c r="F6"/>
  <c r="F9"/>
  <c r="G6"/>
  <c r="G9"/>
  <c r="C25"/>
  <c r="D24"/>
  <c r="E24"/>
  <c r="F24"/>
  <c r="G24"/>
  <c r="H24"/>
  <c r="C6"/>
  <c r="C9"/>
  <c r="H9"/>
  <c r="H6"/>
  <c r="C27"/>
  <c r="C29"/>
  <c r="D28"/>
  <c r="D25"/>
  <c r="D27"/>
  <c r="D29"/>
  <c r="E28"/>
  <c r="E25"/>
  <c r="E27"/>
  <c r="E29"/>
  <c r="F28"/>
  <c r="F25"/>
  <c r="F27"/>
  <c r="F29"/>
  <c r="G28"/>
  <c r="G25"/>
  <c r="G27"/>
  <c r="H27"/>
  <c r="H29"/>
  <c r="G29"/>
  <c r="H25"/>
  <c r="C31"/>
  <c r="C32"/>
  <c r="D31"/>
  <c r="D32"/>
  <c r="E31"/>
  <c r="E32"/>
  <c r="F31"/>
  <c r="F32"/>
  <c r="G31"/>
  <c r="G32"/>
  <c r="H32"/>
  <c r="C28" i="29"/>
  <c r="H28"/>
  <c r="H26"/>
  <c r="D5"/>
  <c r="E5"/>
  <c r="F5"/>
  <c r="G5"/>
  <c r="H4"/>
  <c r="C13"/>
  <c r="H13"/>
  <c r="C7"/>
  <c r="H7"/>
  <c r="C12"/>
  <c r="H12"/>
  <c r="C8"/>
  <c r="H8"/>
  <c r="D23"/>
  <c r="C11"/>
  <c r="H11"/>
  <c r="C21"/>
  <c r="D21"/>
  <c r="E21"/>
  <c r="F21"/>
  <c r="G21"/>
  <c r="C22"/>
  <c r="D22"/>
  <c r="E22"/>
  <c r="F22"/>
  <c r="G22"/>
  <c r="C20"/>
  <c r="D20"/>
  <c r="E20"/>
  <c r="F20"/>
  <c r="G20"/>
  <c r="H20"/>
  <c r="H22"/>
  <c r="C15"/>
  <c r="D15"/>
  <c r="E15"/>
  <c r="F15"/>
  <c r="G15"/>
  <c r="C16"/>
  <c r="D16"/>
  <c r="E16"/>
  <c r="F16"/>
  <c r="G16"/>
  <c r="C18"/>
  <c r="D18"/>
  <c r="E18"/>
  <c r="F18"/>
  <c r="G18"/>
  <c r="C19"/>
  <c r="D19"/>
  <c r="E19"/>
  <c r="F19"/>
  <c r="G19"/>
  <c r="C17"/>
  <c r="D17"/>
  <c r="E17"/>
  <c r="F17"/>
  <c r="G17"/>
  <c r="H21"/>
  <c r="E23"/>
  <c r="H17"/>
  <c r="H19"/>
  <c r="H18"/>
  <c r="H16"/>
  <c r="H15"/>
  <c r="F23"/>
  <c r="C23"/>
  <c r="H23"/>
  <c r="C14"/>
  <c r="D14"/>
  <c r="E14"/>
  <c r="D6"/>
  <c r="D9"/>
  <c r="E6"/>
  <c r="E9"/>
  <c r="F14"/>
  <c r="G14"/>
  <c r="H14"/>
  <c r="C25"/>
  <c r="F6"/>
  <c r="F9"/>
  <c r="G6"/>
  <c r="G9"/>
  <c r="D24"/>
  <c r="E24"/>
  <c r="F24"/>
  <c r="G24"/>
  <c r="H24"/>
  <c r="D25"/>
  <c r="D27"/>
  <c r="E25"/>
  <c r="E27"/>
  <c r="F25"/>
  <c r="G25"/>
  <c r="H25"/>
  <c r="F27"/>
  <c r="G27"/>
  <c r="C6"/>
  <c r="H6"/>
  <c r="C9"/>
  <c r="H9"/>
  <c r="C27"/>
  <c r="C29"/>
  <c r="D28"/>
  <c r="D29"/>
  <c r="E28"/>
  <c r="E29"/>
  <c r="F28"/>
  <c r="F29"/>
  <c r="G28"/>
  <c r="G29"/>
  <c r="H27"/>
  <c r="H29"/>
  <c r="C28" i="31"/>
  <c r="H28"/>
  <c r="H26"/>
  <c r="D5"/>
  <c r="E5"/>
  <c r="F5"/>
  <c r="G5"/>
  <c r="H4"/>
  <c r="C13"/>
  <c r="H13"/>
  <c r="C7"/>
  <c r="H7"/>
  <c r="C12"/>
  <c r="H12"/>
  <c r="C8"/>
  <c r="H8"/>
  <c r="D23"/>
  <c r="C11"/>
  <c r="H11"/>
  <c r="C21"/>
  <c r="D21"/>
  <c r="E21"/>
  <c r="F21"/>
  <c r="G21"/>
  <c r="C22"/>
  <c r="D22"/>
  <c r="E22"/>
  <c r="F22"/>
  <c r="G22"/>
  <c r="H21"/>
  <c r="C17"/>
  <c r="D17"/>
  <c r="E17"/>
  <c r="F17"/>
  <c r="G17"/>
  <c r="H22"/>
  <c r="C15"/>
  <c r="D15"/>
  <c r="E15"/>
  <c r="F15"/>
  <c r="G15"/>
  <c r="C16"/>
  <c r="D16"/>
  <c r="E16"/>
  <c r="F16"/>
  <c r="G16"/>
  <c r="C18"/>
  <c r="D18"/>
  <c r="E18"/>
  <c r="F18"/>
  <c r="G18"/>
  <c r="C20"/>
  <c r="D20"/>
  <c r="E20"/>
  <c r="F20"/>
  <c r="G20"/>
  <c r="C19"/>
  <c r="D19"/>
  <c r="E19"/>
  <c r="F19"/>
  <c r="G19"/>
  <c r="H19"/>
  <c r="E23"/>
  <c r="H20"/>
  <c r="H18"/>
  <c r="H16"/>
  <c r="H15"/>
  <c r="H17"/>
  <c r="F23"/>
  <c r="C23"/>
  <c r="H23"/>
  <c r="C14"/>
  <c r="D14"/>
  <c r="E14"/>
  <c r="D6"/>
  <c r="D9"/>
  <c r="F14"/>
  <c r="E6"/>
  <c r="E9"/>
  <c r="G14"/>
  <c r="H14"/>
  <c r="C25"/>
  <c r="F6"/>
  <c r="F9"/>
  <c r="G6"/>
  <c r="G9"/>
  <c r="D24"/>
  <c r="E24"/>
  <c r="F24"/>
  <c r="G24"/>
  <c r="H24"/>
  <c r="D25"/>
  <c r="D27"/>
  <c r="E25"/>
  <c r="E27"/>
  <c r="F25"/>
  <c r="G25"/>
  <c r="H25"/>
  <c r="F27"/>
  <c r="G27"/>
  <c r="C6"/>
  <c r="H6"/>
  <c r="C9"/>
  <c r="H9"/>
  <c r="C27"/>
  <c r="H27"/>
  <c r="H29"/>
  <c r="C29"/>
  <c r="D28"/>
  <c r="D29"/>
  <c r="E28"/>
  <c r="E29"/>
  <c r="F28"/>
  <c r="F29"/>
  <c r="G28"/>
  <c r="G29"/>
  <c r="C28" i="44"/>
  <c r="H28"/>
  <c r="H26"/>
  <c r="D5"/>
  <c r="E5"/>
  <c r="F5"/>
  <c r="G5"/>
  <c r="H4"/>
  <c r="C7"/>
  <c r="H7"/>
  <c r="C23"/>
  <c r="D23"/>
  <c r="E23"/>
  <c r="F23"/>
  <c r="H23"/>
  <c r="C11"/>
  <c r="H11"/>
  <c r="C13"/>
  <c r="H13"/>
  <c r="C12"/>
  <c r="H12"/>
  <c r="C8"/>
  <c r="H8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H20"/>
  <c r="H16"/>
  <c r="C14"/>
  <c r="D14"/>
  <c r="H22"/>
  <c r="H18"/>
  <c r="H19"/>
  <c r="H15"/>
  <c r="H21"/>
  <c r="H17"/>
  <c r="E14"/>
  <c r="F14"/>
  <c r="D6"/>
  <c r="D9"/>
  <c r="E6"/>
  <c r="E9"/>
  <c r="F6"/>
  <c r="F9"/>
  <c r="G14"/>
  <c r="H14"/>
  <c r="C25"/>
  <c r="G6"/>
  <c r="G9"/>
  <c r="D24"/>
  <c r="E24"/>
  <c r="F24"/>
  <c r="G24"/>
  <c r="H24"/>
  <c r="D25"/>
  <c r="D27"/>
  <c r="E25"/>
  <c r="E27"/>
  <c r="F25"/>
  <c r="F27"/>
  <c r="G25"/>
  <c r="H25"/>
  <c r="G27"/>
  <c r="C6"/>
  <c r="H6"/>
  <c r="C9"/>
  <c r="H9"/>
  <c r="C27"/>
  <c r="C29"/>
  <c r="D28"/>
  <c r="D29"/>
  <c r="E28"/>
  <c r="E29"/>
  <c r="F28"/>
  <c r="F29"/>
  <c r="G28"/>
  <c r="G29"/>
  <c r="C31"/>
  <c r="C32"/>
  <c r="D31"/>
  <c r="D32"/>
  <c r="E31"/>
  <c r="E32"/>
  <c r="F31"/>
  <c r="F32"/>
  <c r="G31"/>
  <c r="G32"/>
  <c r="H32"/>
  <c r="H27"/>
  <c r="H29"/>
  <c r="C28" i="45"/>
  <c r="H28"/>
  <c r="H26"/>
  <c r="D5"/>
  <c r="E5"/>
  <c r="F5"/>
  <c r="G5"/>
  <c r="H4"/>
  <c r="F23"/>
  <c r="E23"/>
  <c r="D23"/>
  <c r="C23"/>
  <c r="H23"/>
  <c r="C13"/>
  <c r="H13"/>
  <c r="C12"/>
  <c r="H12"/>
  <c r="C8"/>
  <c r="H8"/>
  <c r="C7"/>
  <c r="H7"/>
  <c r="C11"/>
  <c r="H11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H16"/>
  <c r="H20"/>
  <c r="C14"/>
  <c r="D14"/>
  <c r="H19"/>
  <c r="H15"/>
  <c r="H22"/>
  <c r="H18"/>
  <c r="H21"/>
  <c r="H17"/>
  <c r="E14"/>
  <c r="D6"/>
  <c r="D9"/>
  <c r="E6"/>
  <c r="E9"/>
  <c r="F14"/>
  <c r="G14"/>
  <c r="H14"/>
  <c r="C25"/>
  <c r="F6"/>
  <c r="F9"/>
  <c r="G6"/>
  <c r="G9"/>
  <c r="D24"/>
  <c r="E24"/>
  <c r="F24"/>
  <c r="G24"/>
  <c r="H24"/>
  <c r="D25"/>
  <c r="D27"/>
  <c r="E25"/>
  <c r="E27"/>
  <c r="F25"/>
  <c r="G25"/>
  <c r="H25"/>
  <c r="F27"/>
  <c r="G27"/>
  <c r="C6"/>
  <c r="C9"/>
  <c r="H9"/>
  <c r="H6"/>
  <c r="C27"/>
  <c r="H27"/>
  <c r="H29"/>
  <c r="C29"/>
  <c r="D28"/>
  <c r="D29"/>
  <c r="E28"/>
  <c r="E29"/>
  <c r="F28"/>
  <c r="F29"/>
  <c r="G28"/>
  <c r="G29"/>
  <c r="C31"/>
  <c r="C32"/>
  <c r="D31"/>
  <c r="D32"/>
  <c r="E31"/>
  <c r="E32"/>
  <c r="F31"/>
  <c r="F32"/>
  <c r="G31"/>
  <c r="G32"/>
  <c r="H32"/>
  <c r="C28" i="46"/>
  <c r="H28"/>
  <c r="H26"/>
  <c r="D5"/>
  <c r="E5"/>
  <c r="F5"/>
  <c r="G5"/>
  <c r="H4"/>
  <c r="F23"/>
  <c r="E23"/>
  <c r="D23"/>
  <c r="C23"/>
  <c r="H23"/>
  <c r="C13"/>
  <c r="H13"/>
  <c r="C12"/>
  <c r="H12"/>
  <c r="C8"/>
  <c r="H8"/>
  <c r="C7"/>
  <c r="H7"/>
  <c r="C20"/>
  <c r="D20"/>
  <c r="E20"/>
  <c r="F20"/>
  <c r="G20"/>
  <c r="H20"/>
  <c r="C11"/>
  <c r="H11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1"/>
  <c r="D21"/>
  <c r="E21"/>
  <c r="F21"/>
  <c r="G21"/>
  <c r="C22"/>
  <c r="D22"/>
  <c r="E22"/>
  <c r="F22"/>
  <c r="G22"/>
  <c r="H16"/>
  <c r="C14"/>
  <c r="D14"/>
  <c r="H19"/>
  <c r="H15"/>
  <c r="H22"/>
  <c r="H18"/>
  <c r="H21"/>
  <c r="H17"/>
  <c r="E14"/>
  <c r="D6"/>
  <c r="D9"/>
  <c r="E6"/>
  <c r="E9"/>
  <c r="F14"/>
  <c r="G14"/>
  <c r="H14"/>
  <c r="C25"/>
  <c r="F6"/>
  <c r="F9"/>
  <c r="G6"/>
  <c r="G9"/>
  <c r="D24"/>
  <c r="E24"/>
  <c r="F24"/>
  <c r="G24"/>
  <c r="H24"/>
  <c r="D25"/>
  <c r="D27"/>
  <c r="E25"/>
  <c r="E27"/>
  <c r="F25"/>
  <c r="G25"/>
  <c r="H25"/>
  <c r="F27"/>
  <c r="G27"/>
  <c r="C6"/>
  <c r="C9"/>
  <c r="H9"/>
  <c r="H6"/>
  <c r="C27"/>
  <c r="H27"/>
  <c r="H29"/>
  <c r="C29"/>
  <c r="D28"/>
  <c r="D29"/>
  <c r="E28"/>
  <c r="E29"/>
  <c r="F28"/>
  <c r="F29"/>
  <c r="G28"/>
  <c r="G29"/>
  <c r="C31"/>
  <c r="C32"/>
  <c r="D31"/>
  <c r="D32"/>
  <c r="E31"/>
  <c r="E32"/>
  <c r="F31"/>
  <c r="F32"/>
  <c r="G31"/>
  <c r="G32"/>
  <c r="H32"/>
  <c r="C28" i="27"/>
  <c r="H28"/>
  <c r="H26"/>
  <c r="D5"/>
  <c r="E5"/>
  <c r="F5"/>
  <c r="G5"/>
  <c r="H4"/>
  <c r="C13"/>
  <c r="H13"/>
  <c r="C7"/>
  <c r="H7"/>
  <c r="C12"/>
  <c r="H12"/>
  <c r="C8"/>
  <c r="H8"/>
  <c r="D23"/>
  <c r="C11"/>
  <c r="H11"/>
  <c r="C21"/>
  <c r="D21"/>
  <c r="E21"/>
  <c r="F21"/>
  <c r="G21"/>
  <c r="C22"/>
  <c r="D22"/>
  <c r="E22"/>
  <c r="F22"/>
  <c r="G22"/>
  <c r="H21"/>
  <c r="C17"/>
  <c r="D17"/>
  <c r="E17"/>
  <c r="F17"/>
  <c r="G17"/>
  <c r="C20"/>
  <c r="D20"/>
  <c r="E20"/>
  <c r="F20"/>
  <c r="G20"/>
  <c r="H22"/>
  <c r="C15"/>
  <c r="D15"/>
  <c r="E15"/>
  <c r="F15"/>
  <c r="G15"/>
  <c r="C16"/>
  <c r="D16"/>
  <c r="E16"/>
  <c r="F16"/>
  <c r="G16"/>
  <c r="C18"/>
  <c r="D18"/>
  <c r="E18"/>
  <c r="F18"/>
  <c r="G18"/>
  <c r="C19"/>
  <c r="D19"/>
  <c r="E19"/>
  <c r="F19"/>
  <c r="G19"/>
  <c r="H19"/>
  <c r="E23"/>
  <c r="H18"/>
  <c r="H16"/>
  <c r="H15"/>
  <c r="H20"/>
  <c r="H17"/>
  <c r="F23"/>
  <c r="C23"/>
  <c r="H23"/>
  <c r="C14"/>
  <c r="D14"/>
  <c r="E14"/>
  <c r="D6"/>
  <c r="D9"/>
  <c r="F14"/>
  <c r="E6"/>
  <c r="E9"/>
  <c r="G14"/>
  <c r="H14"/>
  <c r="F6"/>
  <c r="F9"/>
  <c r="C25"/>
  <c r="G6"/>
  <c r="G9"/>
  <c r="C6"/>
  <c r="H6"/>
  <c r="C9"/>
  <c r="H9"/>
  <c r="D24"/>
  <c r="E24"/>
  <c r="F24"/>
  <c r="G24"/>
  <c r="H24"/>
  <c r="C27"/>
  <c r="C29"/>
  <c r="D28"/>
  <c r="D25"/>
  <c r="D27"/>
  <c r="D29"/>
  <c r="E28"/>
  <c r="E25"/>
  <c r="E27"/>
  <c r="E29"/>
  <c r="F28"/>
  <c r="F25"/>
  <c r="F27"/>
  <c r="F29"/>
  <c r="G28"/>
  <c r="G25"/>
  <c r="H25"/>
  <c r="G27"/>
  <c r="G29"/>
  <c r="H27"/>
  <c r="H29"/>
  <c r="D4" i="11"/>
  <c r="D37"/>
  <c r="C7"/>
  <c r="D7"/>
  <c r="C8"/>
  <c r="D8"/>
  <c r="E8"/>
  <c r="F8"/>
  <c r="G8"/>
  <c r="C9"/>
  <c r="D9"/>
  <c r="C10"/>
  <c r="D10"/>
  <c r="E4"/>
  <c r="E37"/>
  <c r="E9"/>
  <c r="E10"/>
  <c r="F4"/>
  <c r="F37"/>
  <c r="F9"/>
  <c r="F10"/>
  <c r="G4"/>
  <c r="G37"/>
  <c r="G9"/>
  <c r="G10"/>
  <c r="C37"/>
  <c r="C11"/>
  <c r="C39"/>
  <c r="C42"/>
  <c r="C13"/>
  <c r="D13"/>
  <c r="C14"/>
  <c r="D14"/>
  <c r="E14"/>
  <c r="F14"/>
  <c r="G14"/>
  <c r="C15"/>
  <c r="D15"/>
  <c r="C16"/>
  <c r="D16"/>
  <c r="E16"/>
  <c r="H9"/>
  <c r="H10"/>
  <c r="D5"/>
  <c r="C27"/>
  <c r="C5"/>
  <c r="E5"/>
  <c r="F5"/>
  <c r="G5"/>
  <c r="H27"/>
  <c r="H5"/>
  <c r="G51"/>
  <c r="C36"/>
  <c r="G36"/>
  <c r="F36"/>
  <c r="E36"/>
  <c r="D36"/>
  <c r="F46"/>
  <c r="F47"/>
  <c r="E46"/>
  <c r="E47"/>
  <c r="D46"/>
  <c r="D47"/>
  <c r="G45"/>
  <c r="F45"/>
  <c r="E45"/>
  <c r="D45"/>
  <c r="D44"/>
  <c r="C46"/>
  <c r="C47"/>
  <c r="C44"/>
  <c r="H4"/>
  <c r="H3"/>
  <c r="E15"/>
  <c r="F15"/>
  <c r="G15"/>
  <c r="E13"/>
  <c r="G46"/>
  <c r="G47"/>
  <c r="H8"/>
  <c r="E7"/>
  <c r="D11"/>
  <c r="H16"/>
  <c r="H14"/>
  <c r="D39"/>
  <c r="D42"/>
  <c r="F13"/>
  <c r="H15"/>
  <c r="E11"/>
  <c r="F7"/>
  <c r="E44"/>
  <c r="E39"/>
  <c r="E42"/>
  <c r="G7"/>
  <c r="F11"/>
  <c r="F44"/>
  <c r="G13"/>
  <c r="G18"/>
  <c r="G40"/>
  <c r="H13"/>
  <c r="F39"/>
  <c r="F42"/>
  <c r="G11"/>
  <c r="G44"/>
  <c r="H7"/>
  <c r="H11"/>
  <c r="G20"/>
  <c r="G39"/>
  <c r="G42"/>
  <c r="G38"/>
  <c r="G41"/>
  <c r="G22"/>
  <c r="G23"/>
  <c r="G24"/>
  <c r="C45"/>
  <c r="D17"/>
  <c r="D18"/>
  <c r="D40"/>
  <c r="C17"/>
  <c r="C18"/>
  <c r="C40"/>
  <c r="C20"/>
  <c r="C38"/>
  <c r="C41"/>
  <c r="D20"/>
  <c r="D38"/>
  <c r="D41"/>
  <c r="D22"/>
  <c r="D23"/>
  <c r="C22"/>
  <c r="C23"/>
  <c r="E17"/>
  <c r="F17"/>
  <c r="H17"/>
  <c r="H18"/>
  <c r="H20"/>
  <c r="H22"/>
  <c r="H23"/>
  <c r="H24"/>
  <c r="H28"/>
  <c r="E18"/>
  <c r="E40"/>
  <c r="C24"/>
  <c r="C35"/>
  <c r="F18"/>
  <c r="F40"/>
  <c r="D24"/>
  <c r="C28"/>
  <c r="D27"/>
  <c r="D35"/>
  <c r="F20"/>
  <c r="F38"/>
  <c r="F41"/>
  <c r="E20"/>
  <c r="E38"/>
  <c r="E41"/>
  <c r="E22"/>
  <c r="E23"/>
  <c r="F22"/>
  <c r="F23"/>
  <c r="E24"/>
  <c r="D28"/>
  <c r="E27"/>
  <c r="E35"/>
  <c r="E28"/>
  <c r="F27"/>
  <c r="F24"/>
  <c r="F28"/>
  <c r="G27"/>
  <c r="G28"/>
  <c r="G35"/>
  <c r="F35"/>
  <c r="B4" i="25"/>
  <c r="C4"/>
  <c r="G52"/>
  <c r="C8"/>
  <c r="D8"/>
  <c r="E8"/>
  <c r="D47"/>
  <c r="C47"/>
  <c r="C10"/>
  <c r="D10"/>
  <c r="C9"/>
  <c r="D9"/>
  <c r="E9"/>
  <c r="C7"/>
  <c r="D7"/>
  <c r="C11"/>
  <c r="C40"/>
  <c r="C13"/>
  <c r="D13"/>
  <c r="C14"/>
  <c r="D14"/>
  <c r="E14"/>
  <c r="C15"/>
  <c r="D15"/>
  <c r="C16"/>
  <c r="D16"/>
  <c r="E16"/>
  <c r="H16"/>
  <c r="C28"/>
  <c r="H28"/>
  <c r="H3"/>
  <c r="E15"/>
  <c r="F15"/>
  <c r="G15"/>
  <c r="D11"/>
  <c r="E7"/>
  <c r="D45"/>
  <c r="F8"/>
  <c r="E47"/>
  <c r="F14"/>
  <c r="G14"/>
  <c r="H14"/>
  <c r="E13"/>
  <c r="F9"/>
  <c r="G9"/>
  <c r="D46"/>
  <c r="E10"/>
  <c r="D4"/>
  <c r="C5"/>
  <c r="C38"/>
  <c r="C45"/>
  <c r="C37"/>
  <c r="C48"/>
  <c r="H9"/>
  <c r="H15"/>
  <c r="C43"/>
  <c r="E4"/>
  <c r="D5"/>
  <c r="D38"/>
  <c r="F10"/>
  <c r="E46"/>
  <c r="F13"/>
  <c r="G8"/>
  <c r="F47"/>
  <c r="F7"/>
  <c r="E45"/>
  <c r="E11"/>
  <c r="D40"/>
  <c r="E40"/>
  <c r="F11"/>
  <c r="G7"/>
  <c r="F45"/>
  <c r="G47"/>
  <c r="H8"/>
  <c r="D43"/>
  <c r="F4"/>
  <c r="E5"/>
  <c r="E38"/>
  <c r="H7"/>
  <c r="G13"/>
  <c r="G18"/>
  <c r="G41"/>
  <c r="F46"/>
  <c r="G10"/>
  <c r="G46"/>
  <c r="D37"/>
  <c r="D48"/>
  <c r="H13"/>
  <c r="E43"/>
  <c r="G4"/>
  <c r="F5"/>
  <c r="F38"/>
  <c r="G45"/>
  <c r="G11"/>
  <c r="E37"/>
  <c r="E48"/>
  <c r="F40"/>
  <c r="H10"/>
  <c r="H11"/>
  <c r="F37"/>
  <c r="F48"/>
  <c r="G40"/>
  <c r="G20"/>
  <c r="G39"/>
  <c r="F43"/>
  <c r="G5"/>
  <c r="G38"/>
  <c r="H4"/>
  <c r="G22"/>
  <c r="G37"/>
  <c r="G48"/>
  <c r="H5"/>
  <c r="G43"/>
  <c r="G42"/>
  <c r="G23"/>
  <c r="G24"/>
  <c r="C46"/>
  <c r="C17"/>
  <c r="C18"/>
  <c r="C20"/>
  <c r="C39"/>
  <c r="C42"/>
  <c r="C41"/>
  <c r="C22"/>
  <c r="C23"/>
  <c r="D17"/>
  <c r="D18"/>
  <c r="D41"/>
  <c r="C24"/>
  <c r="C36"/>
  <c r="D20"/>
  <c r="D39"/>
  <c r="D42"/>
  <c r="E17"/>
  <c r="E18"/>
  <c r="E41"/>
  <c r="F17"/>
  <c r="F18"/>
  <c r="F41"/>
  <c r="D22"/>
  <c r="D23"/>
  <c r="D24"/>
  <c r="C29"/>
  <c r="D28"/>
  <c r="D36"/>
  <c r="F20"/>
  <c r="F39"/>
  <c r="F42"/>
  <c r="H17"/>
  <c r="H18"/>
  <c r="H20"/>
  <c r="H22"/>
  <c r="H23"/>
  <c r="H24"/>
  <c r="H29"/>
  <c r="E20"/>
  <c r="E39"/>
  <c r="E42"/>
  <c r="E22"/>
  <c r="E23"/>
  <c r="F22"/>
  <c r="F23"/>
  <c r="E24"/>
  <c r="D29"/>
  <c r="E28"/>
  <c r="E36"/>
  <c r="F24"/>
  <c r="E29"/>
  <c r="F28"/>
  <c r="F36"/>
  <c r="F29"/>
  <c r="G28"/>
  <c r="G29"/>
  <c r="G36"/>
  <c r="C15" i="39"/>
  <c r="C9"/>
  <c r="C10"/>
  <c r="G51"/>
  <c r="C37"/>
  <c r="C27"/>
  <c r="H27"/>
  <c r="C16"/>
  <c r="D16"/>
  <c r="E16"/>
  <c r="D15"/>
  <c r="E15"/>
  <c r="F15"/>
  <c r="G15"/>
  <c r="C14"/>
  <c r="D14"/>
  <c r="E14"/>
  <c r="F14"/>
  <c r="G14"/>
  <c r="C13"/>
  <c r="D13"/>
  <c r="D10"/>
  <c r="E10"/>
  <c r="D9"/>
  <c r="E9"/>
  <c r="F9"/>
  <c r="G9"/>
  <c r="C8"/>
  <c r="D8"/>
  <c r="D46"/>
  <c r="C46"/>
  <c r="C7"/>
  <c r="D7"/>
  <c r="D44"/>
  <c r="C11"/>
  <c r="C5"/>
  <c r="C36"/>
  <c r="C47"/>
  <c r="D4"/>
  <c r="D37"/>
  <c r="H3"/>
  <c r="C39"/>
  <c r="H9"/>
  <c r="H14"/>
  <c r="H15"/>
  <c r="H16"/>
  <c r="E45"/>
  <c r="F10"/>
  <c r="C42"/>
  <c r="D5"/>
  <c r="D11"/>
  <c r="C44"/>
  <c r="D45"/>
  <c r="E4"/>
  <c r="E7"/>
  <c r="E8"/>
  <c r="E13"/>
  <c r="E46"/>
  <c r="F8"/>
  <c r="E5"/>
  <c r="E37"/>
  <c r="F4"/>
  <c r="G10"/>
  <c r="F45"/>
  <c r="F13"/>
  <c r="E11"/>
  <c r="E44"/>
  <c r="F7"/>
  <c r="D39"/>
  <c r="D42"/>
  <c r="D36"/>
  <c r="D47"/>
  <c r="F44"/>
  <c r="G7"/>
  <c r="F11"/>
  <c r="E39"/>
  <c r="F37"/>
  <c r="G4"/>
  <c r="F5"/>
  <c r="E36"/>
  <c r="E47"/>
  <c r="G13"/>
  <c r="G18"/>
  <c r="G40"/>
  <c r="G45"/>
  <c r="H10"/>
  <c r="E42"/>
  <c r="F46"/>
  <c r="G8"/>
  <c r="G46"/>
  <c r="H8"/>
  <c r="F36"/>
  <c r="F47"/>
  <c r="G11"/>
  <c r="G44"/>
  <c r="H7"/>
  <c r="H11"/>
  <c r="H13"/>
  <c r="G5"/>
  <c r="G37"/>
  <c r="H4"/>
  <c r="F39"/>
  <c r="F42"/>
  <c r="G36"/>
  <c r="G47"/>
  <c r="G39"/>
  <c r="G20"/>
  <c r="G38"/>
  <c r="G42"/>
  <c r="G41"/>
  <c r="H5"/>
  <c r="G22"/>
  <c r="G23"/>
  <c r="G24"/>
  <c r="C17"/>
  <c r="C18"/>
  <c r="C40"/>
  <c r="C45"/>
  <c r="D17"/>
  <c r="D18"/>
  <c r="D40"/>
  <c r="C20"/>
  <c r="C38"/>
  <c r="C41"/>
  <c r="E17"/>
  <c r="E18"/>
  <c r="E40"/>
  <c r="C22"/>
  <c r="C23"/>
  <c r="D20"/>
  <c r="D38"/>
  <c r="D41"/>
  <c r="E20"/>
  <c r="E38"/>
  <c r="E41"/>
  <c r="D22"/>
  <c r="D23"/>
  <c r="C24"/>
  <c r="C35"/>
  <c r="F17"/>
  <c r="F18"/>
  <c r="F40"/>
  <c r="D24"/>
  <c r="C28"/>
  <c r="D27"/>
  <c r="D35"/>
  <c r="F20"/>
  <c r="F38"/>
  <c r="F41"/>
  <c r="E22"/>
  <c r="E23"/>
  <c r="E24"/>
  <c r="D28"/>
  <c r="E27"/>
  <c r="E35"/>
  <c r="H17"/>
  <c r="H18"/>
  <c r="H20"/>
  <c r="H22"/>
  <c r="H23"/>
  <c r="H24"/>
  <c r="H28"/>
  <c r="F22"/>
  <c r="F23"/>
  <c r="F24"/>
  <c r="E28"/>
  <c r="F27"/>
  <c r="F35"/>
  <c r="F28"/>
  <c r="G27"/>
  <c r="G35"/>
  <c r="G28"/>
  <c r="C9" i="41"/>
  <c r="C15"/>
  <c r="G52"/>
  <c r="C28"/>
  <c r="H28"/>
  <c r="C16"/>
  <c r="C14"/>
  <c r="C13"/>
  <c r="C10"/>
  <c r="C8"/>
  <c r="C47"/>
  <c r="C7"/>
  <c r="C11"/>
  <c r="B4"/>
  <c r="C4"/>
  <c r="H3"/>
  <c r="C5"/>
  <c r="C38"/>
  <c r="D4"/>
  <c r="C40"/>
  <c r="D7"/>
  <c r="D8"/>
  <c r="D9"/>
  <c r="E9"/>
  <c r="F9"/>
  <c r="G9"/>
  <c r="D10"/>
  <c r="D13"/>
  <c r="D14"/>
  <c r="E14"/>
  <c r="F14"/>
  <c r="G14"/>
  <c r="D15"/>
  <c r="E15"/>
  <c r="F15"/>
  <c r="G15"/>
  <c r="D16"/>
  <c r="E16"/>
  <c r="C45"/>
  <c r="E13"/>
  <c r="E10"/>
  <c r="D46"/>
  <c r="D38"/>
  <c r="E4"/>
  <c r="D5"/>
  <c r="C37"/>
  <c r="C48"/>
  <c r="H15"/>
  <c r="H16"/>
  <c r="D47"/>
  <c r="E8"/>
  <c r="D45"/>
  <c r="E7"/>
  <c r="D11"/>
  <c r="C43"/>
  <c r="H9"/>
  <c r="H14"/>
  <c r="D40"/>
  <c r="D37"/>
  <c r="D48"/>
  <c r="D43"/>
  <c r="E46"/>
  <c r="F10"/>
  <c r="E11"/>
  <c r="E45"/>
  <c r="F7"/>
  <c r="E47"/>
  <c r="F8"/>
  <c r="E5"/>
  <c r="E38"/>
  <c r="F4"/>
  <c r="F13"/>
  <c r="G13"/>
  <c r="G18"/>
  <c r="G41"/>
  <c r="F47"/>
  <c r="G8"/>
  <c r="F45"/>
  <c r="G7"/>
  <c r="F11"/>
  <c r="E40"/>
  <c r="E43"/>
  <c r="G10"/>
  <c r="G46"/>
  <c r="F46"/>
  <c r="F38"/>
  <c r="G4"/>
  <c r="F5"/>
  <c r="E37"/>
  <c r="E48"/>
  <c r="H13"/>
  <c r="H10"/>
  <c r="G5"/>
  <c r="G38"/>
  <c r="H4"/>
  <c r="F40"/>
  <c r="F37"/>
  <c r="F48"/>
  <c r="F43"/>
  <c r="G11"/>
  <c r="G45"/>
  <c r="H7"/>
  <c r="G47"/>
  <c r="H8"/>
  <c r="G37"/>
  <c r="G48"/>
  <c r="H5"/>
  <c r="G40"/>
  <c r="G20"/>
  <c r="G39"/>
  <c r="G43"/>
  <c r="G42"/>
  <c r="H11"/>
  <c r="G22"/>
  <c r="G23"/>
  <c r="G24"/>
  <c r="C46"/>
  <c r="C17"/>
  <c r="C18"/>
  <c r="C41"/>
  <c r="D17"/>
  <c r="D18"/>
  <c r="D41"/>
  <c r="C20"/>
  <c r="C39"/>
  <c r="C42"/>
  <c r="D20"/>
  <c r="D39"/>
  <c r="D42"/>
  <c r="C22"/>
  <c r="C23"/>
  <c r="E17"/>
  <c r="E18"/>
  <c r="E41"/>
  <c r="C24"/>
  <c r="C36"/>
  <c r="F17"/>
  <c r="F18"/>
  <c r="F41"/>
  <c r="E20"/>
  <c r="E39"/>
  <c r="E42"/>
  <c r="E22"/>
  <c r="E23"/>
  <c r="F20"/>
  <c r="F39"/>
  <c r="F42"/>
  <c r="D22"/>
  <c r="D23"/>
  <c r="D24"/>
  <c r="C29"/>
  <c r="D28"/>
  <c r="D36"/>
  <c r="E24"/>
  <c r="D29"/>
  <c r="E28"/>
  <c r="E36"/>
  <c r="F22"/>
  <c r="F23"/>
  <c r="F24"/>
  <c r="E29"/>
  <c r="F28"/>
  <c r="F36"/>
  <c r="H17"/>
  <c r="H18"/>
  <c r="H20"/>
  <c r="H22"/>
  <c r="H23"/>
  <c r="H24"/>
  <c r="H29"/>
  <c r="F29"/>
  <c r="G28"/>
  <c r="G36"/>
  <c r="G29"/>
  <c r="I17" i="6"/>
  <c r="I16"/>
  <c r="I15"/>
  <c r="I13"/>
  <c r="I12"/>
  <c r="I11"/>
  <c r="I10"/>
  <c r="I25"/>
  <c r="I24"/>
  <c r="I23"/>
  <c r="I22"/>
  <c r="I9"/>
  <c r="I7"/>
  <c r="I6"/>
  <c r="G26"/>
  <c r="F18"/>
  <c r="F14"/>
  <c r="G8"/>
  <c r="D26"/>
  <c r="C18"/>
  <c r="C14"/>
  <c r="D8"/>
  <c r="I18"/>
  <c r="I8"/>
  <c r="D19"/>
  <c r="D20"/>
  <c r="G19"/>
  <c r="I26"/>
  <c r="I19"/>
  <c r="I14"/>
  <c r="G20"/>
  <c r="I20"/>
  <c r="E6" i="15"/>
  <c r="E7"/>
  <c r="E8"/>
  <c r="E9"/>
  <c r="E12"/>
  <c r="E13"/>
  <c r="E14"/>
  <c r="E15"/>
  <c r="E16"/>
  <c r="E17"/>
  <c r="C18"/>
  <c r="E18"/>
  <c r="E19"/>
  <c r="E20"/>
  <c r="B31"/>
  <c r="B30"/>
  <c r="B29"/>
  <c r="B19"/>
  <c r="B32"/>
  <c r="E29"/>
  <c r="E30"/>
  <c r="D30"/>
  <c r="D36"/>
  <c r="C29"/>
  <c r="C32"/>
  <c r="D29"/>
  <c r="D35"/>
  <c r="D32"/>
  <c r="E32"/>
  <c r="D37"/>
  <c r="E36"/>
  <c r="E35"/>
  <c r="E37"/>
  <c r="E27" i="7"/>
  <c r="E28"/>
  <c r="E29"/>
  <c r="D6"/>
  <c r="D7"/>
  <c r="E8"/>
  <c r="D9"/>
  <c r="D10"/>
  <c r="D11"/>
  <c r="D12"/>
  <c r="E17"/>
  <c r="E20"/>
  <c r="E23"/>
  <c r="I49"/>
  <c r="I48"/>
  <c r="I47"/>
  <c r="I46"/>
  <c r="I43"/>
  <c r="I42"/>
  <c r="I41"/>
  <c r="I40"/>
  <c r="I50"/>
  <c r="E44"/>
  <c r="E13"/>
  <c r="E45"/>
  <c r="E50"/>
  <c r="E52"/>
  <c r="E14"/>
  <c r="E25"/>
  <c r="I8"/>
  <c r="I52"/>
  <c r="D8" i="4"/>
  <c r="D7"/>
  <c r="B6"/>
  <c r="D6"/>
  <c r="D5"/>
  <c r="D4"/>
  <c r="D9"/>
  <c r="D10"/>
  <c r="D11"/>
  <c r="D15"/>
  <c r="D16"/>
  <c r="D17"/>
  <c r="D19"/>
  <c r="D18"/>
  <c r="B3" i="19"/>
  <c r="B4"/>
  <c r="B5"/>
  <c r="B10"/>
  <c r="B6"/>
  <c r="B11"/>
  <c r="F5" i="20"/>
  <c r="G5"/>
  <c r="D6"/>
  <c r="E6"/>
  <c r="F6"/>
  <c r="E7"/>
  <c r="E10"/>
  <c r="H5"/>
  <c r="J3"/>
  <c r="G6"/>
  <c r="D7"/>
  <c r="F7"/>
  <c r="D8"/>
  <c r="H6"/>
  <c r="G7"/>
  <c r="F8"/>
  <c r="D9"/>
  <c r="H7"/>
  <c r="G8"/>
  <c r="F9"/>
  <c r="G9"/>
  <c r="H9"/>
  <c r="H8"/>
  <c r="G10"/>
  <c r="H10"/>
  <c r="C54" i="16"/>
  <c r="E72"/>
  <c r="C16"/>
  <c r="J35"/>
  <c r="K35"/>
  <c r="L35"/>
  <c r="E18"/>
  <c r="C75"/>
  <c r="G64"/>
  <c r="C64"/>
  <c r="D64"/>
  <c r="E64"/>
  <c r="H64"/>
  <c r="C62"/>
  <c r="D62"/>
  <c r="C61"/>
  <c r="D61"/>
  <c r="E61"/>
  <c r="C60"/>
  <c r="D60"/>
  <c r="C58"/>
  <c r="D58"/>
  <c r="E58"/>
  <c r="C84"/>
  <c r="C57"/>
  <c r="D57"/>
  <c r="C82"/>
  <c r="C55"/>
  <c r="D54"/>
  <c r="E54"/>
  <c r="H53"/>
  <c r="I36"/>
  <c r="H36"/>
  <c r="N33"/>
  <c r="F16"/>
  <c r="G16"/>
  <c r="H16"/>
  <c r="E14"/>
  <c r="F14"/>
  <c r="G14"/>
  <c r="H14"/>
  <c r="I14"/>
  <c r="J14"/>
  <c r="K14"/>
  <c r="L14"/>
  <c r="M14"/>
  <c r="N14"/>
  <c r="O14"/>
  <c r="P14"/>
  <c r="F12"/>
  <c r="G12"/>
  <c r="E11"/>
  <c r="Q9"/>
  <c r="Q8"/>
  <c r="E7"/>
  <c r="F6"/>
  <c r="F7"/>
  <c r="Q5"/>
  <c r="Q4"/>
  <c r="E55"/>
  <c r="F54"/>
  <c r="D55"/>
  <c r="C74"/>
  <c r="C85"/>
  <c r="E57"/>
  <c r="J36"/>
  <c r="H37"/>
  <c r="G6"/>
  <c r="F11"/>
  <c r="G11"/>
  <c r="C65"/>
  <c r="I37"/>
  <c r="I40"/>
  <c r="F57"/>
  <c r="G54"/>
  <c r="F55"/>
  <c r="G7"/>
  <c r="H6"/>
  <c r="I6"/>
  <c r="K36"/>
  <c r="L36"/>
  <c r="D65"/>
  <c r="G55"/>
  <c r="H54"/>
  <c r="G57"/>
  <c r="H7"/>
  <c r="H57"/>
  <c r="H55"/>
  <c r="I7"/>
  <c r="J6"/>
  <c r="H12"/>
  <c r="I12"/>
  <c r="J12"/>
  <c r="K12"/>
  <c r="L12"/>
  <c r="M12"/>
  <c r="N12"/>
  <c r="O12"/>
  <c r="P12"/>
  <c r="I16"/>
  <c r="J16"/>
  <c r="K16"/>
  <c r="L16"/>
  <c r="M16"/>
  <c r="N16"/>
  <c r="O16"/>
  <c r="P16"/>
  <c r="F61"/>
  <c r="G61"/>
  <c r="E62"/>
  <c r="F62"/>
  <c r="G62"/>
  <c r="H11"/>
  <c r="I11"/>
  <c r="J11"/>
  <c r="K11"/>
  <c r="L11"/>
  <c r="M11"/>
  <c r="N11"/>
  <c r="O11"/>
  <c r="P11"/>
  <c r="F58"/>
  <c r="E60"/>
  <c r="F60"/>
  <c r="G60"/>
  <c r="H60"/>
  <c r="F18"/>
  <c r="G18"/>
  <c r="H18"/>
  <c r="I18"/>
  <c r="J18"/>
  <c r="K18"/>
  <c r="L18"/>
  <c r="M18"/>
  <c r="N18"/>
  <c r="O18"/>
  <c r="P18"/>
  <c r="Q18"/>
  <c r="J37"/>
  <c r="Q14"/>
  <c r="K6"/>
  <c r="J7"/>
  <c r="Q11"/>
  <c r="H62"/>
  <c r="H61"/>
  <c r="Q16"/>
  <c r="C63"/>
  <c r="Q12"/>
  <c r="C59"/>
  <c r="H38"/>
  <c r="K37"/>
  <c r="G58"/>
  <c r="H58"/>
  <c r="J38"/>
  <c r="H39"/>
  <c r="D63"/>
  <c r="E63"/>
  <c r="F63"/>
  <c r="G63"/>
  <c r="H63"/>
  <c r="C78"/>
  <c r="L6"/>
  <c r="K7"/>
  <c r="L37"/>
  <c r="E65"/>
  <c r="C66"/>
  <c r="D59"/>
  <c r="C77"/>
  <c r="C80"/>
  <c r="E59"/>
  <c r="D66"/>
  <c r="D67"/>
  <c r="M6"/>
  <c r="L7"/>
  <c r="K38"/>
  <c r="C67"/>
  <c r="C76"/>
  <c r="C79"/>
  <c r="J39"/>
  <c r="K39"/>
  <c r="C68"/>
  <c r="C69"/>
  <c r="C73"/>
  <c r="L38"/>
  <c r="F65"/>
  <c r="H65"/>
  <c r="K40"/>
  <c r="L40"/>
  <c r="D68"/>
  <c r="G65"/>
  <c r="L39"/>
  <c r="M7"/>
  <c r="N6"/>
  <c r="F59"/>
  <c r="E66"/>
  <c r="E67"/>
  <c r="G59"/>
  <c r="F66"/>
  <c r="F67"/>
  <c r="N7"/>
  <c r="O6"/>
  <c r="E68"/>
  <c r="E69"/>
  <c r="D69"/>
  <c r="G66"/>
  <c r="G67"/>
  <c r="H59"/>
  <c r="H66"/>
  <c r="H67"/>
  <c r="O7"/>
  <c r="P6"/>
  <c r="F68"/>
  <c r="H68"/>
  <c r="H69"/>
  <c r="P7"/>
  <c r="Q6"/>
  <c r="G68"/>
  <c r="G69"/>
  <c r="F69"/>
  <c r="Q7"/>
  <c r="E13"/>
  <c r="F13"/>
  <c r="G13"/>
  <c r="H13"/>
  <c r="I13"/>
  <c r="J13"/>
  <c r="K13"/>
  <c r="L13"/>
  <c r="M13"/>
  <c r="N13"/>
  <c r="O13"/>
  <c r="P13"/>
  <c r="E15"/>
  <c r="F15"/>
  <c r="G15"/>
  <c r="H15"/>
  <c r="I15"/>
  <c r="J15"/>
  <c r="K15"/>
  <c r="L15"/>
  <c r="M15"/>
  <c r="N15"/>
  <c r="O15"/>
  <c r="P15"/>
  <c r="E17"/>
  <c r="F17"/>
  <c r="G17"/>
  <c r="H17"/>
  <c r="I17"/>
  <c r="J17"/>
  <c r="K17"/>
  <c r="L17"/>
  <c r="M17"/>
  <c r="N17"/>
  <c r="O17"/>
  <c r="P17"/>
  <c r="Q15"/>
  <c r="Q13"/>
  <c r="Q17"/>
  <c r="E10"/>
  <c r="F10"/>
  <c r="G10"/>
  <c r="G19"/>
  <c r="G21"/>
  <c r="G22"/>
  <c r="G23"/>
  <c r="H10"/>
  <c r="H19"/>
  <c r="H21"/>
  <c r="H22"/>
  <c r="H23"/>
  <c r="F19"/>
  <c r="F21"/>
  <c r="F22"/>
  <c r="F23"/>
  <c r="E19"/>
  <c r="E21"/>
  <c r="E22"/>
  <c r="E23"/>
  <c r="C83"/>
  <c r="I10"/>
  <c r="I19"/>
  <c r="I21"/>
  <c r="I22"/>
  <c r="I23"/>
  <c r="J10"/>
  <c r="J19"/>
  <c r="J21"/>
  <c r="J22"/>
  <c r="J23"/>
  <c r="K10"/>
  <c r="K19"/>
  <c r="K21"/>
  <c r="K22"/>
  <c r="K23"/>
  <c r="L10"/>
  <c r="L19"/>
  <c r="L21"/>
  <c r="L22"/>
  <c r="L23"/>
  <c r="M10"/>
  <c r="M19"/>
  <c r="M21"/>
  <c r="M22"/>
  <c r="M23"/>
  <c r="N10"/>
  <c r="N19"/>
  <c r="N21"/>
  <c r="N22"/>
  <c r="N23"/>
  <c r="O10"/>
  <c r="O19"/>
  <c r="O21"/>
  <c r="O22"/>
  <c r="O23"/>
  <c r="P10"/>
  <c r="Q10"/>
  <c r="P19"/>
  <c r="Q19"/>
  <c r="P21"/>
  <c r="P22"/>
  <c r="P23"/>
  <c r="Q21"/>
  <c r="Q22"/>
  <c r="Q23"/>
  <c r="C25"/>
  <c r="C59" i="17"/>
  <c r="H59"/>
  <c r="C60"/>
  <c r="P10"/>
  <c r="O10"/>
  <c r="N10"/>
  <c r="M10"/>
  <c r="L10"/>
  <c r="K10"/>
  <c r="J10"/>
  <c r="I10"/>
  <c r="H10"/>
  <c r="G10"/>
  <c r="E7"/>
  <c r="Q7"/>
  <c r="F6"/>
  <c r="C53"/>
  <c r="D53"/>
  <c r="I39"/>
  <c r="J39"/>
  <c r="E17"/>
  <c r="G40"/>
  <c r="H40"/>
  <c r="I40"/>
  <c r="G41"/>
  <c r="H41"/>
  <c r="J40"/>
  <c r="D71"/>
  <c r="C70"/>
  <c r="C69"/>
  <c r="C56"/>
  <c r="C55"/>
  <c r="C76"/>
  <c r="H76"/>
  <c r="H74"/>
  <c r="H60"/>
  <c r="H56"/>
  <c r="H55"/>
  <c r="H52"/>
  <c r="E28"/>
  <c r="Q28"/>
  <c r="Q23"/>
  <c r="Q22"/>
  <c r="F21"/>
  <c r="E19"/>
  <c r="F19"/>
  <c r="G19"/>
  <c r="F17"/>
  <c r="G17"/>
  <c r="H17"/>
  <c r="I17"/>
  <c r="J17"/>
  <c r="K17"/>
  <c r="L17"/>
  <c r="M17"/>
  <c r="N17"/>
  <c r="O17"/>
  <c r="P17"/>
  <c r="E16"/>
  <c r="Q13"/>
  <c r="Q12"/>
  <c r="F10"/>
  <c r="Q9"/>
  <c r="Q8"/>
  <c r="H6"/>
  <c r="J6"/>
  <c r="L6"/>
  <c r="N6"/>
  <c r="P6"/>
  <c r="Q5"/>
  <c r="Q4"/>
  <c r="D69"/>
  <c r="E69"/>
  <c r="F69"/>
  <c r="D70"/>
  <c r="E70"/>
  <c r="F70"/>
  <c r="G70"/>
  <c r="E10"/>
  <c r="F16"/>
  <c r="G16"/>
  <c r="G21"/>
  <c r="H21"/>
  <c r="I21"/>
  <c r="J21"/>
  <c r="K21"/>
  <c r="L21"/>
  <c r="M21"/>
  <c r="N21"/>
  <c r="O21"/>
  <c r="P21"/>
  <c r="H44"/>
  <c r="K40"/>
  <c r="E14"/>
  <c r="C61"/>
  <c r="Q14"/>
  <c r="H61"/>
  <c r="H19"/>
  <c r="I19"/>
  <c r="J19"/>
  <c r="K19"/>
  <c r="L19"/>
  <c r="M19"/>
  <c r="N19"/>
  <c r="O19"/>
  <c r="P19"/>
  <c r="I41"/>
  <c r="G42"/>
  <c r="C71"/>
  <c r="K39"/>
  <c r="L39"/>
  <c r="E24"/>
  <c r="Q10"/>
  <c r="C54"/>
  <c r="H16"/>
  <c r="I16"/>
  <c r="J16"/>
  <c r="K16"/>
  <c r="L16"/>
  <c r="M16"/>
  <c r="N16"/>
  <c r="O16"/>
  <c r="P16"/>
  <c r="Q16"/>
  <c r="C63"/>
  <c r="G69"/>
  <c r="H69"/>
  <c r="D54"/>
  <c r="D57"/>
  <c r="E53"/>
  <c r="Q21"/>
  <c r="C68"/>
  <c r="H70"/>
  <c r="Q17"/>
  <c r="C64"/>
  <c r="Q19"/>
  <c r="C66"/>
  <c r="D64"/>
  <c r="E64"/>
  <c r="F64"/>
  <c r="G64"/>
  <c r="D68"/>
  <c r="E68"/>
  <c r="F68"/>
  <c r="G68"/>
  <c r="H68"/>
  <c r="C57"/>
  <c r="I42"/>
  <c r="G43"/>
  <c r="D66"/>
  <c r="E66"/>
  <c r="F66"/>
  <c r="G66"/>
  <c r="H66"/>
  <c r="F53"/>
  <c r="E54"/>
  <c r="E57"/>
  <c r="D63"/>
  <c r="E63"/>
  <c r="F63"/>
  <c r="G63"/>
  <c r="H63"/>
  <c r="F24"/>
  <c r="G24"/>
  <c r="H24"/>
  <c r="I24"/>
  <c r="J24"/>
  <c r="K24"/>
  <c r="L24"/>
  <c r="M24"/>
  <c r="N24"/>
  <c r="O24"/>
  <c r="P24"/>
  <c r="Q24"/>
  <c r="J41"/>
  <c r="J42"/>
  <c r="I43"/>
  <c r="J43"/>
  <c r="J44"/>
  <c r="H64"/>
  <c r="K41"/>
  <c r="E71"/>
  <c r="F54"/>
  <c r="F57"/>
  <c r="G53"/>
  <c r="G54"/>
  <c r="G57"/>
  <c r="H54"/>
  <c r="I57"/>
  <c r="J46"/>
  <c r="K44"/>
  <c r="K43"/>
  <c r="G71"/>
  <c r="K42"/>
  <c r="F71"/>
  <c r="H71"/>
  <c r="H57"/>
  <c r="D72"/>
  <c r="E72"/>
  <c r="F72"/>
  <c r="G72"/>
  <c r="H72"/>
  <c r="E20"/>
  <c r="E25"/>
  <c r="E27"/>
  <c r="E29"/>
  <c r="F28"/>
  <c r="F18"/>
  <c r="G18"/>
  <c r="H18"/>
  <c r="I18"/>
  <c r="J18"/>
  <c r="K18"/>
  <c r="L18"/>
  <c r="M18"/>
  <c r="N18"/>
  <c r="O18"/>
  <c r="P18"/>
  <c r="F20"/>
  <c r="G20"/>
  <c r="H20"/>
  <c r="I20"/>
  <c r="J20"/>
  <c r="K20"/>
  <c r="L20"/>
  <c r="M20"/>
  <c r="N20"/>
  <c r="O20"/>
  <c r="P20"/>
  <c r="Q20"/>
  <c r="C67"/>
  <c r="D67"/>
  <c r="E67"/>
  <c r="F67"/>
  <c r="G67"/>
  <c r="F15"/>
  <c r="F25"/>
  <c r="F27"/>
  <c r="F29"/>
  <c r="G28"/>
  <c r="Q18"/>
  <c r="C65"/>
  <c r="D65"/>
  <c r="E65"/>
  <c r="F65"/>
  <c r="G65"/>
  <c r="H67"/>
  <c r="G15"/>
  <c r="G25"/>
  <c r="G27"/>
  <c r="G29"/>
  <c r="H28"/>
  <c r="H15"/>
  <c r="H25"/>
  <c r="H27"/>
  <c r="H29"/>
  <c r="I28"/>
  <c r="H65"/>
  <c r="I15"/>
  <c r="I25"/>
  <c r="I27"/>
  <c r="I29"/>
  <c r="J28"/>
  <c r="J15"/>
  <c r="J25"/>
  <c r="J27"/>
  <c r="J29"/>
  <c r="K28"/>
  <c r="K15"/>
  <c r="K25"/>
  <c r="K27"/>
  <c r="K29"/>
  <c r="L28"/>
  <c r="L15"/>
  <c r="L25"/>
  <c r="L27"/>
  <c r="L29"/>
  <c r="M28"/>
  <c r="M15"/>
  <c r="M25"/>
  <c r="M27"/>
  <c r="M29"/>
  <c r="N28"/>
  <c r="N15"/>
  <c r="N25"/>
  <c r="N27"/>
  <c r="N29"/>
  <c r="O28"/>
  <c r="O15"/>
  <c r="O25"/>
  <c r="O27"/>
  <c r="O29"/>
  <c r="P28"/>
  <c r="P15"/>
  <c r="P25"/>
  <c r="P27"/>
  <c r="P29"/>
  <c r="Q15"/>
  <c r="Q25"/>
  <c r="Q27"/>
  <c r="Q29"/>
  <c r="C62"/>
  <c r="C73"/>
  <c r="C75"/>
  <c r="C77"/>
  <c r="D76"/>
  <c r="D62"/>
  <c r="D73"/>
  <c r="D75"/>
  <c r="D77"/>
  <c r="E76"/>
  <c r="E62"/>
  <c r="E73"/>
  <c r="E75"/>
  <c r="E77"/>
  <c r="F76"/>
  <c r="F62"/>
  <c r="G62"/>
  <c r="H62"/>
  <c r="I73"/>
  <c r="I75"/>
  <c r="I77"/>
  <c r="F73"/>
  <c r="F75"/>
  <c r="F77"/>
  <c r="G76"/>
  <c r="G73"/>
  <c r="H73"/>
  <c r="G75"/>
  <c r="G77"/>
  <c r="H75"/>
  <c r="H77"/>
  <c r="J4" i="8"/>
  <c r="I5"/>
  <c r="J5"/>
  <c r="E11"/>
  <c r="D11"/>
  <c r="E14"/>
  <c r="E16"/>
  <c r="D14"/>
  <c r="D16"/>
  <c r="C14"/>
  <c r="C16"/>
  <c r="B14"/>
  <c r="B16"/>
  <c r="E13"/>
  <c r="D13"/>
  <c r="C13"/>
  <c r="B13"/>
  <c r="B11"/>
  <c r="C11"/>
  <c r="I6"/>
  <c r="J6"/>
  <c r="I7"/>
  <c r="J7"/>
  <c r="I8"/>
  <c r="J8"/>
  <c r="I9"/>
  <c r="J9"/>
  <c r="I10"/>
  <c r="J10"/>
  <c r="J11"/>
  <c r="E26" i="21"/>
  <c r="J26"/>
  <c r="E12"/>
  <c r="Q12"/>
  <c r="D12"/>
  <c r="I19"/>
  <c r="I18"/>
  <c r="I20"/>
  <c r="E11"/>
  <c r="E13"/>
  <c r="F12"/>
  <c r="F11"/>
  <c r="F13"/>
  <c r="G12"/>
  <c r="G11"/>
  <c r="G13"/>
  <c r="H12"/>
  <c r="F19"/>
  <c r="F18"/>
  <c r="F20"/>
  <c r="I11"/>
  <c r="K11"/>
  <c r="H19"/>
  <c r="G19"/>
  <c r="E19"/>
  <c r="J19"/>
  <c r="G18"/>
  <c r="G20"/>
  <c r="E18"/>
  <c r="H18"/>
  <c r="J18"/>
  <c r="H20"/>
  <c r="E20"/>
  <c r="J20"/>
  <c r="M11"/>
  <c r="O11"/>
  <c r="F25"/>
  <c r="G25"/>
  <c r="H25"/>
  <c r="I25"/>
  <c r="O3"/>
  <c r="O4"/>
  <c r="O5"/>
  <c r="N3"/>
  <c r="N4"/>
  <c r="N5"/>
  <c r="M3"/>
  <c r="M4"/>
  <c r="M5"/>
  <c r="L3"/>
  <c r="L4"/>
  <c r="L5"/>
  <c r="K3"/>
  <c r="K4"/>
  <c r="K5"/>
  <c r="J3"/>
  <c r="J4"/>
  <c r="J5"/>
  <c r="I3"/>
  <c r="I4"/>
  <c r="I5"/>
  <c r="H3"/>
  <c r="H4"/>
  <c r="H5"/>
  <c r="G3"/>
  <c r="G4"/>
  <c r="G5"/>
  <c r="F3"/>
  <c r="F4"/>
  <c r="F5"/>
  <c r="P3"/>
  <c r="P4"/>
  <c r="P5"/>
  <c r="E3"/>
  <c r="E4"/>
  <c r="E5"/>
  <c r="Q3"/>
  <c r="Q4"/>
  <c r="Q5"/>
  <c r="C7"/>
  <c r="P11"/>
  <c r="N11"/>
  <c r="L11"/>
  <c r="J11"/>
  <c r="H11"/>
  <c r="H13"/>
  <c r="I12"/>
  <c r="I13"/>
  <c r="J12"/>
  <c r="J13"/>
  <c r="K12"/>
  <c r="K13"/>
  <c r="L12"/>
  <c r="L13"/>
  <c r="M12"/>
  <c r="M13"/>
  <c r="N12"/>
  <c r="N13"/>
  <c r="O12"/>
  <c r="O13"/>
  <c r="P12"/>
  <c r="P13"/>
  <c r="Q11"/>
  <c r="Q13"/>
  <c r="E25"/>
  <c r="E27"/>
  <c r="F26"/>
  <c r="F27"/>
  <c r="G26"/>
  <c r="G27"/>
  <c r="H26"/>
  <c r="H27"/>
  <c r="J25"/>
  <c r="J27"/>
  <c r="I26"/>
  <c r="I27"/>
  <c r="D3" i="10"/>
  <c r="D6"/>
  <c r="D8"/>
  <c r="D9"/>
  <c r="D10"/>
  <c r="D11"/>
  <c r="D12"/>
  <c r="D13"/>
  <c r="D14"/>
  <c r="D18"/>
  <c r="D19"/>
  <c r="F10"/>
  <c r="D3" i="3"/>
  <c r="D4"/>
  <c r="B5"/>
  <c r="D5"/>
  <c r="D6"/>
  <c r="D7"/>
  <c r="K3"/>
  <c r="L3"/>
  <c r="N3"/>
  <c r="L4"/>
  <c r="M4"/>
  <c r="N4"/>
  <c r="K5"/>
  <c r="L5"/>
  <c r="M5"/>
  <c r="N5"/>
  <c r="L6"/>
  <c r="M6"/>
  <c r="N6"/>
  <c r="N13"/>
  <c r="L7"/>
  <c r="N14"/>
  <c r="E7"/>
  <c r="F7"/>
  <c r="E6"/>
  <c r="F6"/>
  <c r="E5"/>
  <c r="E4"/>
  <c r="F4"/>
  <c r="E3"/>
  <c r="K7"/>
  <c r="N15"/>
  <c r="N16"/>
  <c r="M7"/>
  <c r="F3"/>
  <c r="E8"/>
  <c r="D8"/>
  <c r="F5"/>
  <c r="N7"/>
  <c r="D10"/>
  <c r="N8"/>
  <c r="F8"/>
  <c r="N9"/>
  <c r="N10"/>
  <c r="E9"/>
  <c r="E10"/>
  <c r="F10"/>
  <c r="F9"/>
  <c r="O10" i="14"/>
  <c r="I10"/>
  <c r="K10"/>
  <c r="M10"/>
  <c r="G10"/>
  <c r="E13"/>
  <c r="E12"/>
  <c r="D28"/>
  <c r="P24"/>
  <c r="O24"/>
  <c r="N24"/>
  <c r="M24"/>
  <c r="L24"/>
  <c r="K24"/>
  <c r="J24"/>
  <c r="I24"/>
  <c r="H24"/>
  <c r="G24"/>
  <c r="F24"/>
  <c r="E24"/>
  <c r="H6"/>
  <c r="J6"/>
  <c r="L6"/>
  <c r="N6"/>
  <c r="P6"/>
  <c r="E7"/>
  <c r="E10"/>
  <c r="F10"/>
  <c r="Q13"/>
  <c r="Q12"/>
  <c r="F21"/>
  <c r="G21"/>
  <c r="H21"/>
  <c r="E28"/>
  <c r="Q28"/>
  <c r="Q9"/>
  <c r="E19"/>
  <c r="F19"/>
  <c r="G19"/>
  <c r="E17"/>
  <c r="F17"/>
  <c r="G17"/>
  <c r="E16"/>
  <c r="F16"/>
  <c r="G16"/>
  <c r="Q8"/>
  <c r="Q5"/>
  <c r="Q4"/>
  <c r="Q24"/>
  <c r="Q22"/>
  <c r="Q23"/>
  <c r="E20"/>
  <c r="F20"/>
  <c r="E18"/>
  <c r="F18"/>
  <c r="E14"/>
  <c r="E15"/>
  <c r="E25"/>
  <c r="F15"/>
  <c r="Q14"/>
  <c r="G20"/>
  <c r="H20"/>
  <c r="I20"/>
  <c r="J20"/>
  <c r="K20"/>
  <c r="L20"/>
  <c r="M20"/>
  <c r="N20"/>
  <c r="O20"/>
  <c r="P20"/>
  <c r="Q20"/>
  <c r="E27"/>
  <c r="G18"/>
  <c r="H18"/>
  <c r="I18"/>
  <c r="J18"/>
  <c r="K18"/>
  <c r="L18"/>
  <c r="M18"/>
  <c r="N18"/>
  <c r="O18"/>
  <c r="P18"/>
  <c r="Q18"/>
  <c r="H16"/>
  <c r="I16"/>
  <c r="J16"/>
  <c r="K16"/>
  <c r="L16"/>
  <c r="M16"/>
  <c r="N16"/>
  <c r="O16"/>
  <c r="P16"/>
  <c r="Q16"/>
  <c r="H17"/>
  <c r="I17"/>
  <c r="J17"/>
  <c r="K17"/>
  <c r="L17"/>
  <c r="M17"/>
  <c r="N17"/>
  <c r="O17"/>
  <c r="P17"/>
  <c r="Q17"/>
  <c r="H19"/>
  <c r="I19"/>
  <c r="J19"/>
  <c r="K19"/>
  <c r="L19"/>
  <c r="M19"/>
  <c r="N19"/>
  <c r="O19"/>
  <c r="P19"/>
  <c r="Q19"/>
  <c r="I21"/>
  <c r="J21"/>
  <c r="K21"/>
  <c r="L21"/>
  <c r="M21"/>
  <c r="N21"/>
  <c r="O21"/>
  <c r="P21"/>
  <c r="Q21"/>
  <c r="F25"/>
  <c r="F27"/>
  <c r="G15"/>
  <c r="G25"/>
  <c r="G27"/>
  <c r="H15"/>
  <c r="E29"/>
  <c r="F28"/>
  <c r="F29"/>
  <c r="G28"/>
  <c r="I15"/>
  <c r="H25"/>
  <c r="G29"/>
  <c r="H28"/>
  <c r="I25"/>
  <c r="I27"/>
  <c r="J15"/>
  <c r="J25"/>
  <c r="K15"/>
  <c r="K25"/>
  <c r="K27"/>
  <c r="L15"/>
  <c r="M15"/>
  <c r="L25"/>
  <c r="M25"/>
  <c r="M27"/>
  <c r="N15"/>
  <c r="N25"/>
  <c r="O15"/>
  <c r="O25"/>
  <c r="O27"/>
  <c r="P15"/>
  <c r="P25"/>
  <c r="Q15"/>
  <c r="Q25"/>
  <c r="H7"/>
  <c r="J7"/>
  <c r="L7"/>
  <c r="N7"/>
  <c r="P7"/>
  <c r="Q7"/>
  <c r="P10"/>
  <c r="P27"/>
  <c r="N10"/>
  <c r="N27"/>
  <c r="L10"/>
  <c r="L27"/>
  <c r="J10"/>
  <c r="J27"/>
  <c r="H10"/>
  <c r="H27"/>
  <c r="H29"/>
  <c r="I28"/>
  <c r="I29"/>
  <c r="J28"/>
  <c r="J29"/>
  <c r="K28"/>
  <c r="K29"/>
  <c r="L28"/>
  <c r="L29"/>
  <c r="M28"/>
  <c r="M29"/>
  <c r="N28"/>
  <c r="N29"/>
  <c r="O28"/>
  <c r="O29"/>
  <c r="P28"/>
  <c r="P29"/>
  <c r="Q10"/>
  <c r="Q27"/>
  <c r="Q29"/>
  <c r="E7" i="24"/>
  <c r="E10"/>
  <c r="F10"/>
  <c r="G10"/>
  <c r="I10"/>
  <c r="K10"/>
  <c r="M10"/>
  <c r="O10"/>
  <c r="E12"/>
  <c r="Q12"/>
  <c r="E13"/>
  <c r="Q13"/>
  <c r="E14"/>
  <c r="Q14"/>
  <c r="E15"/>
  <c r="F15"/>
  <c r="E16"/>
  <c r="F16"/>
  <c r="G16"/>
  <c r="E17"/>
  <c r="F17"/>
  <c r="E18"/>
  <c r="F18"/>
  <c r="G18"/>
  <c r="E19"/>
  <c r="F19"/>
  <c r="E20"/>
  <c r="F20"/>
  <c r="G20"/>
  <c r="F21"/>
  <c r="G21"/>
  <c r="H21"/>
  <c r="Q22"/>
  <c r="Q23"/>
  <c r="E24"/>
  <c r="F24"/>
  <c r="G24"/>
  <c r="H24"/>
  <c r="I24"/>
  <c r="J24"/>
  <c r="K24"/>
  <c r="L24"/>
  <c r="M24"/>
  <c r="N24"/>
  <c r="O24"/>
  <c r="P24"/>
  <c r="Q24"/>
  <c r="D28"/>
  <c r="E28"/>
  <c r="Q28"/>
  <c r="E25"/>
  <c r="E27"/>
  <c r="E29"/>
  <c r="F28"/>
  <c r="Q9"/>
  <c r="Q8"/>
  <c r="H6"/>
  <c r="J6"/>
  <c r="L6"/>
  <c r="N6"/>
  <c r="P6"/>
  <c r="Q5"/>
  <c r="Q4"/>
  <c r="H18"/>
  <c r="I18"/>
  <c r="J18"/>
  <c r="K18"/>
  <c r="L18"/>
  <c r="M18"/>
  <c r="N18"/>
  <c r="O18"/>
  <c r="P18"/>
  <c r="G17"/>
  <c r="H17"/>
  <c r="I17"/>
  <c r="J17"/>
  <c r="K17"/>
  <c r="L17"/>
  <c r="M17"/>
  <c r="N17"/>
  <c r="O17"/>
  <c r="P17"/>
  <c r="Q17"/>
  <c r="I21"/>
  <c r="J21"/>
  <c r="K21"/>
  <c r="L21"/>
  <c r="M21"/>
  <c r="N21"/>
  <c r="O21"/>
  <c r="P21"/>
  <c r="H20"/>
  <c r="I20"/>
  <c r="J20"/>
  <c r="K20"/>
  <c r="L20"/>
  <c r="M20"/>
  <c r="N20"/>
  <c r="O20"/>
  <c r="P20"/>
  <c r="Q20"/>
  <c r="G19"/>
  <c r="H19"/>
  <c r="I19"/>
  <c r="J19"/>
  <c r="K19"/>
  <c r="L19"/>
  <c r="M19"/>
  <c r="N19"/>
  <c r="O19"/>
  <c r="P19"/>
  <c r="H16"/>
  <c r="I16"/>
  <c r="J16"/>
  <c r="K16"/>
  <c r="L16"/>
  <c r="M16"/>
  <c r="N16"/>
  <c r="O16"/>
  <c r="P16"/>
  <c r="G15"/>
  <c r="F25"/>
  <c r="F27"/>
  <c r="F29"/>
  <c r="G28"/>
  <c r="Q16"/>
  <c r="Q19"/>
  <c r="Q21"/>
  <c r="H15"/>
  <c r="G25"/>
  <c r="G27"/>
  <c r="G29"/>
  <c r="H28"/>
  <c r="Q18"/>
  <c r="H25"/>
  <c r="I15"/>
  <c r="J15"/>
  <c r="I25"/>
  <c r="I27"/>
  <c r="K15"/>
  <c r="J25"/>
  <c r="L15"/>
  <c r="K25"/>
  <c r="K27"/>
  <c r="L25"/>
  <c r="M15"/>
  <c r="N15"/>
  <c r="M25"/>
  <c r="M27"/>
  <c r="O15"/>
  <c r="N25"/>
  <c r="P15"/>
  <c r="O25"/>
  <c r="O27"/>
  <c r="P25"/>
  <c r="Q15"/>
  <c r="Q25"/>
  <c r="H7"/>
  <c r="J7"/>
  <c r="L7"/>
  <c r="N7"/>
  <c r="P7"/>
  <c r="Q7"/>
  <c r="H10"/>
  <c r="H27"/>
  <c r="H29"/>
  <c r="I28"/>
  <c r="I29"/>
  <c r="J28"/>
  <c r="J10"/>
  <c r="J27"/>
  <c r="J29"/>
  <c r="K28"/>
  <c r="K29"/>
  <c r="L28"/>
  <c r="L10"/>
  <c r="L27"/>
  <c r="L29"/>
  <c r="M28"/>
  <c r="M29"/>
  <c r="N28"/>
  <c r="N10"/>
  <c r="N27"/>
  <c r="N29"/>
  <c r="O28"/>
  <c r="O29"/>
  <c r="P28"/>
  <c r="P10"/>
  <c r="P27"/>
  <c r="P29"/>
  <c r="Q10"/>
  <c r="Q27"/>
  <c r="Q29"/>
  <c r="E7" i="28"/>
  <c r="E10"/>
  <c r="F10"/>
  <c r="G10"/>
  <c r="O10"/>
  <c r="E15"/>
  <c r="F15"/>
  <c r="G15"/>
  <c r="E16"/>
  <c r="F16"/>
  <c r="E17"/>
  <c r="F17"/>
  <c r="G17"/>
  <c r="E18"/>
  <c r="F18"/>
  <c r="E19"/>
  <c r="F19"/>
  <c r="G19"/>
  <c r="E20"/>
  <c r="F20"/>
  <c r="F21"/>
  <c r="G21"/>
  <c r="H21"/>
  <c r="O24"/>
  <c r="M10"/>
  <c r="M24"/>
  <c r="K10"/>
  <c r="K24"/>
  <c r="I10"/>
  <c r="I24"/>
  <c r="G24"/>
  <c r="F24"/>
  <c r="E12"/>
  <c r="E13"/>
  <c r="E14"/>
  <c r="E24"/>
  <c r="E25"/>
  <c r="D28"/>
  <c r="E28"/>
  <c r="Q28"/>
  <c r="Q12"/>
  <c r="Q13"/>
  <c r="Q14"/>
  <c r="Q22"/>
  <c r="Q23"/>
  <c r="H24"/>
  <c r="J24"/>
  <c r="L24"/>
  <c r="N24"/>
  <c r="P24"/>
  <c r="Q24"/>
  <c r="Q9"/>
  <c r="Q8"/>
  <c r="H6"/>
  <c r="J6"/>
  <c r="L6"/>
  <c r="N6"/>
  <c r="P6"/>
  <c r="Q5"/>
  <c r="Q4"/>
  <c r="H19"/>
  <c r="I19"/>
  <c r="J19"/>
  <c r="K19"/>
  <c r="L19"/>
  <c r="M19"/>
  <c r="N19"/>
  <c r="O19"/>
  <c r="P19"/>
  <c r="G18"/>
  <c r="H18"/>
  <c r="I18"/>
  <c r="J18"/>
  <c r="K18"/>
  <c r="L18"/>
  <c r="M18"/>
  <c r="N18"/>
  <c r="O18"/>
  <c r="P18"/>
  <c r="H15"/>
  <c r="I21"/>
  <c r="J21"/>
  <c r="K21"/>
  <c r="L21"/>
  <c r="M21"/>
  <c r="N21"/>
  <c r="O21"/>
  <c r="P21"/>
  <c r="Q21"/>
  <c r="G20"/>
  <c r="H20"/>
  <c r="I20"/>
  <c r="J20"/>
  <c r="K20"/>
  <c r="L20"/>
  <c r="M20"/>
  <c r="N20"/>
  <c r="O20"/>
  <c r="P20"/>
  <c r="Q20"/>
  <c r="H17"/>
  <c r="I17"/>
  <c r="J17"/>
  <c r="K17"/>
  <c r="L17"/>
  <c r="M17"/>
  <c r="N17"/>
  <c r="O17"/>
  <c r="P17"/>
  <c r="Q17"/>
  <c r="G16"/>
  <c r="H16"/>
  <c r="I16"/>
  <c r="J16"/>
  <c r="K16"/>
  <c r="L16"/>
  <c r="M16"/>
  <c r="N16"/>
  <c r="O16"/>
  <c r="P16"/>
  <c r="F25"/>
  <c r="F27"/>
  <c r="Q16"/>
  <c r="E27"/>
  <c r="E29"/>
  <c r="F28"/>
  <c r="I15"/>
  <c r="H25"/>
  <c r="F29"/>
  <c r="G28"/>
  <c r="G25"/>
  <c r="G27"/>
  <c r="Q18"/>
  <c r="Q19"/>
  <c r="G29"/>
  <c r="H28"/>
  <c r="J15"/>
  <c r="I25"/>
  <c r="I27"/>
  <c r="J25"/>
  <c r="K15"/>
  <c r="L15"/>
  <c r="K25"/>
  <c r="K27"/>
  <c r="M15"/>
  <c r="L25"/>
  <c r="N15"/>
  <c r="M25"/>
  <c r="M27"/>
  <c r="N25"/>
  <c r="O15"/>
  <c r="O25"/>
  <c r="O27"/>
  <c r="P15"/>
  <c r="P25"/>
  <c r="Q15"/>
  <c r="Q25"/>
  <c r="H7"/>
  <c r="J7"/>
  <c r="L7"/>
  <c r="N7"/>
  <c r="P7"/>
  <c r="Q7"/>
  <c r="P10"/>
  <c r="P27"/>
  <c r="N10"/>
  <c r="N27"/>
  <c r="L10"/>
  <c r="L27"/>
  <c r="J10"/>
  <c r="J27"/>
  <c r="H10"/>
  <c r="H27"/>
  <c r="H29"/>
  <c r="I28"/>
  <c r="I29"/>
  <c r="J28"/>
  <c r="J29"/>
  <c r="K28"/>
  <c r="K29"/>
  <c r="L28"/>
  <c r="L29"/>
  <c r="M28"/>
  <c r="M29"/>
  <c r="N28"/>
  <c r="N29"/>
  <c r="O28"/>
  <c r="O29"/>
  <c r="P28"/>
  <c r="P29"/>
  <c r="Q10"/>
  <c r="Q27"/>
  <c r="Q29"/>
  <c r="E7" i="30"/>
  <c r="E10"/>
  <c r="F10"/>
  <c r="G10"/>
  <c r="E15"/>
  <c r="F15"/>
  <c r="E16"/>
  <c r="F16"/>
  <c r="E17"/>
  <c r="F17"/>
  <c r="G17"/>
  <c r="E18"/>
  <c r="F18"/>
  <c r="E19"/>
  <c r="F19"/>
  <c r="G19"/>
  <c r="E20"/>
  <c r="F20"/>
  <c r="F21"/>
  <c r="G21"/>
  <c r="H21"/>
  <c r="O24"/>
  <c r="M24"/>
  <c r="K24"/>
  <c r="I24"/>
  <c r="G24"/>
  <c r="F24"/>
  <c r="E12"/>
  <c r="E13"/>
  <c r="E14"/>
  <c r="E24"/>
  <c r="E25"/>
  <c r="D28"/>
  <c r="E28"/>
  <c r="Q28"/>
  <c r="Q12"/>
  <c r="Q13"/>
  <c r="Q14"/>
  <c r="Q22"/>
  <c r="Q23"/>
  <c r="H24"/>
  <c r="J24"/>
  <c r="L24"/>
  <c r="N24"/>
  <c r="P24"/>
  <c r="Q24"/>
  <c r="Q9"/>
  <c r="Q8"/>
  <c r="H6"/>
  <c r="J6"/>
  <c r="L6"/>
  <c r="N6"/>
  <c r="P6"/>
  <c r="Q5"/>
  <c r="Q4"/>
  <c r="H10"/>
  <c r="J10"/>
  <c r="L10"/>
  <c r="N10"/>
  <c r="P10"/>
  <c r="I21"/>
  <c r="J21"/>
  <c r="K21"/>
  <c r="L21"/>
  <c r="M21"/>
  <c r="N21"/>
  <c r="O21"/>
  <c r="P21"/>
  <c r="Q21"/>
  <c r="G20"/>
  <c r="H20"/>
  <c r="I20"/>
  <c r="J20"/>
  <c r="K20"/>
  <c r="L20"/>
  <c r="M20"/>
  <c r="N20"/>
  <c r="O20"/>
  <c r="P20"/>
  <c r="H17"/>
  <c r="I17"/>
  <c r="J17"/>
  <c r="K17"/>
  <c r="L17"/>
  <c r="M17"/>
  <c r="N17"/>
  <c r="O17"/>
  <c r="P17"/>
  <c r="G16"/>
  <c r="H16"/>
  <c r="I16"/>
  <c r="J16"/>
  <c r="K16"/>
  <c r="L16"/>
  <c r="M16"/>
  <c r="N16"/>
  <c r="O16"/>
  <c r="P16"/>
  <c r="E27"/>
  <c r="E29"/>
  <c r="F28"/>
  <c r="H19"/>
  <c r="I19"/>
  <c r="J19"/>
  <c r="K19"/>
  <c r="L19"/>
  <c r="M19"/>
  <c r="N19"/>
  <c r="O19"/>
  <c r="P19"/>
  <c r="G18"/>
  <c r="H18"/>
  <c r="I18"/>
  <c r="J18"/>
  <c r="K18"/>
  <c r="L18"/>
  <c r="M18"/>
  <c r="N18"/>
  <c r="O18"/>
  <c r="P18"/>
  <c r="G15"/>
  <c r="F25"/>
  <c r="F27"/>
  <c r="F29"/>
  <c r="G28"/>
  <c r="H15"/>
  <c r="G25"/>
  <c r="G27"/>
  <c r="G29"/>
  <c r="H28"/>
  <c r="Q18"/>
  <c r="Q19"/>
  <c r="Q16"/>
  <c r="Q17"/>
  <c r="Q20"/>
  <c r="I15"/>
  <c r="H25"/>
  <c r="H27"/>
  <c r="H29"/>
  <c r="I28"/>
  <c r="J15"/>
  <c r="I25"/>
  <c r="K15"/>
  <c r="J25"/>
  <c r="J27"/>
  <c r="L15"/>
  <c r="K25"/>
  <c r="M15"/>
  <c r="L25"/>
  <c r="L27"/>
  <c r="N15"/>
  <c r="M25"/>
  <c r="O15"/>
  <c r="N25"/>
  <c r="N27"/>
  <c r="O25"/>
  <c r="P15"/>
  <c r="P25"/>
  <c r="P27"/>
  <c r="Q15"/>
  <c r="Q25"/>
  <c r="I7"/>
  <c r="K7"/>
  <c r="M7"/>
  <c r="O7"/>
  <c r="Q7"/>
  <c r="O10"/>
  <c r="O27"/>
  <c r="M10"/>
  <c r="M27"/>
  <c r="K10"/>
  <c r="K27"/>
  <c r="I10"/>
  <c r="I27"/>
  <c r="I29"/>
  <c r="J28"/>
  <c r="J29"/>
  <c r="K28"/>
  <c r="K29"/>
  <c r="L28"/>
  <c r="L29"/>
  <c r="M28"/>
  <c r="M29"/>
  <c r="N28"/>
  <c r="N29"/>
  <c r="O28"/>
  <c r="O29"/>
  <c r="P28"/>
  <c r="P29"/>
  <c r="Q10"/>
  <c r="Q27"/>
  <c r="Q29"/>
  <c r="Q8" i="35"/>
  <c r="E17"/>
  <c r="E13"/>
  <c r="E12"/>
  <c r="D28"/>
  <c r="E28"/>
  <c r="Q28"/>
  <c r="P24"/>
  <c r="O24"/>
  <c r="N24"/>
  <c r="M24"/>
  <c r="L24"/>
  <c r="K24"/>
  <c r="J24"/>
  <c r="I24"/>
  <c r="H24"/>
  <c r="G24"/>
  <c r="F24"/>
  <c r="E24"/>
  <c r="Q24"/>
  <c r="Q23"/>
  <c r="Q22"/>
  <c r="F21"/>
  <c r="G21"/>
  <c r="H21"/>
  <c r="I21"/>
  <c r="J21"/>
  <c r="K21"/>
  <c r="L21"/>
  <c r="M21"/>
  <c r="N21"/>
  <c r="O21"/>
  <c r="P21"/>
  <c r="E20"/>
  <c r="F20"/>
  <c r="G20"/>
  <c r="H20"/>
  <c r="I20"/>
  <c r="J20"/>
  <c r="K20"/>
  <c r="L20"/>
  <c r="M20"/>
  <c r="N20"/>
  <c r="O20"/>
  <c r="P20"/>
  <c r="E19"/>
  <c r="F19"/>
  <c r="G19"/>
  <c r="H19"/>
  <c r="I19"/>
  <c r="J19"/>
  <c r="K19"/>
  <c r="L19"/>
  <c r="M19"/>
  <c r="N19"/>
  <c r="O19"/>
  <c r="P19"/>
  <c r="E18"/>
  <c r="F18"/>
  <c r="G18"/>
  <c r="H18"/>
  <c r="I18"/>
  <c r="J18"/>
  <c r="K18"/>
  <c r="L18"/>
  <c r="M18"/>
  <c r="N18"/>
  <c r="O18"/>
  <c r="P18"/>
  <c r="F17"/>
  <c r="G17"/>
  <c r="H17"/>
  <c r="I17"/>
  <c r="J17"/>
  <c r="K17"/>
  <c r="L17"/>
  <c r="M17"/>
  <c r="N17"/>
  <c r="O17"/>
  <c r="P17"/>
  <c r="Q17"/>
  <c r="E16"/>
  <c r="F16"/>
  <c r="G16"/>
  <c r="H16"/>
  <c r="I16"/>
  <c r="J16"/>
  <c r="K16"/>
  <c r="L16"/>
  <c r="M16"/>
  <c r="N16"/>
  <c r="O16"/>
  <c r="P16"/>
  <c r="E15"/>
  <c r="F15"/>
  <c r="F25"/>
  <c r="F10"/>
  <c r="F27"/>
  <c r="E14"/>
  <c r="Q14"/>
  <c r="Q13"/>
  <c r="Q12"/>
  <c r="O10"/>
  <c r="M10"/>
  <c r="K10"/>
  <c r="I10"/>
  <c r="G10"/>
  <c r="E7"/>
  <c r="E10"/>
  <c r="Q9"/>
  <c r="H6"/>
  <c r="J6"/>
  <c r="L6"/>
  <c r="N6"/>
  <c r="P6"/>
  <c r="Q5"/>
  <c r="Q4"/>
  <c r="Q19"/>
  <c r="Q16"/>
  <c r="Q18"/>
  <c r="Q20"/>
  <c r="Q21"/>
  <c r="E25"/>
  <c r="E27"/>
  <c r="E29"/>
  <c r="F28"/>
  <c r="F29"/>
  <c r="G28"/>
  <c r="G15"/>
  <c r="G25"/>
  <c r="G27"/>
  <c r="G29"/>
  <c r="H28"/>
  <c r="H15"/>
  <c r="H25"/>
  <c r="I15"/>
  <c r="I25"/>
  <c r="I27"/>
  <c r="J15"/>
  <c r="J25"/>
  <c r="K15"/>
  <c r="K25"/>
  <c r="K27"/>
  <c r="L15"/>
  <c r="L25"/>
  <c r="M15"/>
  <c r="M25"/>
  <c r="M27"/>
  <c r="N15"/>
  <c r="N25"/>
  <c r="O15"/>
  <c r="O25"/>
  <c r="O27"/>
  <c r="P15"/>
  <c r="P25"/>
  <c r="Q15"/>
  <c r="Q25"/>
  <c r="H7"/>
  <c r="J7"/>
  <c r="L7"/>
  <c r="N7"/>
  <c r="P7"/>
  <c r="Q7"/>
  <c r="P10"/>
  <c r="P27"/>
  <c r="N10"/>
  <c r="N27"/>
  <c r="L10"/>
  <c r="L27"/>
  <c r="J10"/>
  <c r="J27"/>
  <c r="H10"/>
  <c r="H27"/>
  <c r="H29"/>
  <c r="I28"/>
  <c r="I29"/>
  <c r="J28"/>
  <c r="J29"/>
  <c r="K28"/>
  <c r="K29"/>
  <c r="L28"/>
  <c r="L29"/>
  <c r="M28"/>
  <c r="M29"/>
  <c r="N28"/>
  <c r="N29"/>
  <c r="O28"/>
  <c r="O29"/>
  <c r="P28"/>
  <c r="P29"/>
  <c r="Q10"/>
  <c r="Q27"/>
  <c r="Q29"/>
  <c r="F18" i="36"/>
  <c r="G18"/>
  <c r="F15"/>
  <c r="G15"/>
  <c r="D28"/>
  <c r="E28"/>
  <c r="Q28"/>
  <c r="P24"/>
  <c r="O24"/>
  <c r="N24"/>
  <c r="M24"/>
  <c r="L24"/>
  <c r="K24"/>
  <c r="J24"/>
  <c r="I24"/>
  <c r="H24"/>
  <c r="G24"/>
  <c r="F24"/>
  <c r="E24"/>
  <c r="Q24"/>
  <c r="Q23"/>
  <c r="Q22"/>
  <c r="F21"/>
  <c r="G21"/>
  <c r="H21"/>
  <c r="I21"/>
  <c r="J21"/>
  <c r="K21"/>
  <c r="L21"/>
  <c r="M21"/>
  <c r="N21"/>
  <c r="O21"/>
  <c r="P21"/>
  <c r="E20"/>
  <c r="F20"/>
  <c r="G20"/>
  <c r="H20"/>
  <c r="I20"/>
  <c r="J20"/>
  <c r="K20"/>
  <c r="L20"/>
  <c r="M20"/>
  <c r="N20"/>
  <c r="O20"/>
  <c r="P20"/>
  <c r="E19"/>
  <c r="H18"/>
  <c r="I18"/>
  <c r="J18"/>
  <c r="K18"/>
  <c r="L18"/>
  <c r="M18"/>
  <c r="N18"/>
  <c r="O18"/>
  <c r="P18"/>
  <c r="E17"/>
  <c r="F17"/>
  <c r="G17"/>
  <c r="H17"/>
  <c r="I17"/>
  <c r="J17"/>
  <c r="K17"/>
  <c r="L17"/>
  <c r="M17"/>
  <c r="N17"/>
  <c r="O17"/>
  <c r="P17"/>
  <c r="E16"/>
  <c r="F16"/>
  <c r="G16"/>
  <c r="H16"/>
  <c r="I16"/>
  <c r="J16"/>
  <c r="K16"/>
  <c r="L16"/>
  <c r="M16"/>
  <c r="N16"/>
  <c r="O16"/>
  <c r="P16"/>
  <c r="E14"/>
  <c r="Q14"/>
  <c r="E13"/>
  <c r="Q13"/>
  <c r="E12"/>
  <c r="Q12"/>
  <c r="E25"/>
  <c r="O10"/>
  <c r="M10"/>
  <c r="K10"/>
  <c r="I10"/>
  <c r="G10"/>
  <c r="F10"/>
  <c r="Q9"/>
  <c r="Q8"/>
  <c r="E7"/>
  <c r="H6"/>
  <c r="J6"/>
  <c r="L6"/>
  <c r="N6"/>
  <c r="P6"/>
  <c r="Q5"/>
  <c r="Q4"/>
  <c r="F19"/>
  <c r="G19"/>
  <c r="H19"/>
  <c r="I19"/>
  <c r="J19"/>
  <c r="K19"/>
  <c r="L19"/>
  <c r="M19"/>
  <c r="N19"/>
  <c r="O19"/>
  <c r="P19"/>
  <c r="Q17"/>
  <c r="E10"/>
  <c r="Q16"/>
  <c r="Q18"/>
  <c r="Q20"/>
  <c r="Q21"/>
  <c r="F25"/>
  <c r="F27"/>
  <c r="Q19"/>
  <c r="G25"/>
  <c r="G27"/>
  <c r="H15"/>
  <c r="E27"/>
  <c r="E29"/>
  <c r="F28"/>
  <c r="F29"/>
  <c r="G28"/>
  <c r="G29"/>
  <c r="H28"/>
  <c r="H25"/>
  <c r="I15"/>
  <c r="I25"/>
  <c r="I27"/>
  <c r="J15"/>
  <c r="J25"/>
  <c r="K15"/>
  <c r="K25"/>
  <c r="K27"/>
  <c r="L15"/>
  <c r="L25"/>
  <c r="M15"/>
  <c r="M25"/>
  <c r="M27"/>
  <c r="N15"/>
  <c r="N25"/>
  <c r="O15"/>
  <c r="O25"/>
  <c r="O27"/>
  <c r="P15"/>
  <c r="P25"/>
  <c r="Q15"/>
  <c r="Q25"/>
  <c r="H7"/>
  <c r="J7"/>
  <c r="L7"/>
  <c r="N7"/>
  <c r="P7"/>
  <c r="Q7"/>
  <c r="P10"/>
  <c r="P27"/>
  <c r="N10"/>
  <c r="N27"/>
  <c r="L10"/>
  <c r="L27"/>
  <c r="J10"/>
  <c r="J27"/>
  <c r="H10"/>
  <c r="H27"/>
  <c r="H29"/>
  <c r="I28"/>
  <c r="I29"/>
  <c r="J28"/>
  <c r="J29"/>
  <c r="K28"/>
  <c r="K29"/>
  <c r="L28"/>
  <c r="L29"/>
  <c r="M28"/>
  <c r="M29"/>
  <c r="N28"/>
  <c r="N29"/>
  <c r="O28"/>
  <c r="O29"/>
  <c r="P28"/>
  <c r="P29"/>
  <c r="Q10"/>
  <c r="Q27"/>
  <c r="Q29"/>
  <c r="F18" i="37"/>
  <c r="G18"/>
  <c r="H18"/>
  <c r="I18"/>
  <c r="J18"/>
  <c r="K18"/>
  <c r="L18"/>
  <c r="M18"/>
  <c r="N18"/>
  <c r="O18"/>
  <c r="P18"/>
  <c r="Q18"/>
  <c r="F15"/>
  <c r="G15"/>
  <c r="H15"/>
  <c r="I15"/>
  <c r="J15"/>
  <c r="K15"/>
  <c r="L15"/>
  <c r="M15"/>
  <c r="N15"/>
  <c r="O15"/>
  <c r="P15"/>
  <c r="Q15"/>
  <c r="E17"/>
  <c r="E13"/>
  <c r="E12"/>
  <c r="D28"/>
  <c r="E28"/>
  <c r="Q28"/>
  <c r="P24"/>
  <c r="O24"/>
  <c r="N24"/>
  <c r="M24"/>
  <c r="L24"/>
  <c r="K24"/>
  <c r="J24"/>
  <c r="I24"/>
  <c r="H24"/>
  <c r="G24"/>
  <c r="F24"/>
  <c r="E24"/>
  <c r="Q24"/>
  <c r="Q23"/>
  <c r="Q22"/>
  <c r="F21"/>
  <c r="E20"/>
  <c r="F20"/>
  <c r="G20"/>
  <c r="H20"/>
  <c r="I20"/>
  <c r="J20"/>
  <c r="K20"/>
  <c r="L20"/>
  <c r="M20"/>
  <c r="N20"/>
  <c r="O20"/>
  <c r="P20"/>
  <c r="E19"/>
  <c r="F19"/>
  <c r="G19"/>
  <c r="H19"/>
  <c r="I19"/>
  <c r="J19"/>
  <c r="K19"/>
  <c r="L19"/>
  <c r="M19"/>
  <c r="N19"/>
  <c r="O19"/>
  <c r="P19"/>
  <c r="F17"/>
  <c r="G17"/>
  <c r="H17"/>
  <c r="I17"/>
  <c r="J17"/>
  <c r="K17"/>
  <c r="L17"/>
  <c r="M17"/>
  <c r="N17"/>
  <c r="O17"/>
  <c r="P17"/>
  <c r="E16"/>
  <c r="F16"/>
  <c r="G16"/>
  <c r="H16"/>
  <c r="I16"/>
  <c r="J16"/>
  <c r="K16"/>
  <c r="L16"/>
  <c r="M16"/>
  <c r="N16"/>
  <c r="O16"/>
  <c r="P16"/>
  <c r="Q16"/>
  <c r="E14"/>
  <c r="Q14"/>
  <c r="Q13"/>
  <c r="E25"/>
  <c r="O10"/>
  <c r="M10"/>
  <c r="K10"/>
  <c r="I10"/>
  <c r="G10"/>
  <c r="F10"/>
  <c r="Q9"/>
  <c r="Q8"/>
  <c r="E7"/>
  <c r="E10"/>
  <c r="H6"/>
  <c r="J6"/>
  <c r="L6"/>
  <c r="N6"/>
  <c r="P6"/>
  <c r="Q5"/>
  <c r="Q4"/>
  <c r="Q20"/>
  <c r="E27"/>
  <c r="E29"/>
  <c r="F28"/>
  <c r="F25"/>
  <c r="F27"/>
  <c r="Q17"/>
  <c r="Q19"/>
  <c r="Q12"/>
  <c r="G21"/>
  <c r="H21"/>
  <c r="I21"/>
  <c r="J21"/>
  <c r="K21"/>
  <c r="L21"/>
  <c r="M21"/>
  <c r="N21"/>
  <c r="O21"/>
  <c r="P21"/>
  <c r="G25"/>
  <c r="G27"/>
  <c r="Q21"/>
  <c r="F29"/>
  <c r="G28"/>
  <c r="H25"/>
  <c r="G29"/>
  <c r="H28"/>
  <c r="I25"/>
  <c r="I27"/>
  <c r="J25"/>
  <c r="K25"/>
  <c r="K27"/>
  <c r="L25"/>
  <c r="M25"/>
  <c r="M27"/>
  <c r="N25"/>
  <c r="O25"/>
  <c r="O27"/>
  <c r="P25"/>
  <c r="Q25"/>
  <c r="H7"/>
  <c r="J7"/>
  <c r="L7"/>
  <c r="N7"/>
  <c r="P7"/>
  <c r="Q7"/>
  <c r="P10"/>
  <c r="P27"/>
  <c r="N10"/>
  <c r="N27"/>
  <c r="L10"/>
  <c r="L27"/>
  <c r="J10"/>
  <c r="J27"/>
  <c r="H10"/>
  <c r="H27"/>
  <c r="H29"/>
  <c r="I28"/>
  <c r="I29"/>
  <c r="J28"/>
  <c r="J29"/>
  <c r="K28"/>
  <c r="K29"/>
  <c r="L28"/>
  <c r="L29"/>
  <c r="M28"/>
  <c r="M29"/>
  <c r="N28"/>
  <c r="N29"/>
  <c r="O28"/>
  <c r="O29"/>
  <c r="P28"/>
  <c r="P29"/>
  <c r="Q10"/>
  <c r="Q27"/>
  <c r="Q29"/>
  <c r="E17" i="38"/>
  <c r="F18"/>
  <c r="G18"/>
  <c r="F15"/>
  <c r="G15"/>
  <c r="E13"/>
  <c r="E12"/>
  <c r="D28"/>
  <c r="E28"/>
  <c r="Q28"/>
  <c r="P24"/>
  <c r="O24"/>
  <c r="N24"/>
  <c r="M24"/>
  <c r="L24"/>
  <c r="K24"/>
  <c r="J24"/>
  <c r="I24"/>
  <c r="H24"/>
  <c r="G24"/>
  <c r="F24"/>
  <c r="E24"/>
  <c r="Q24"/>
  <c r="Q23"/>
  <c r="Q22"/>
  <c r="F21"/>
  <c r="G21"/>
  <c r="H21"/>
  <c r="I21"/>
  <c r="J21"/>
  <c r="K21"/>
  <c r="L21"/>
  <c r="M21"/>
  <c r="N21"/>
  <c r="O21"/>
  <c r="P21"/>
  <c r="E20"/>
  <c r="F20"/>
  <c r="G20"/>
  <c r="H20"/>
  <c r="I20"/>
  <c r="J20"/>
  <c r="K20"/>
  <c r="L20"/>
  <c r="M20"/>
  <c r="N20"/>
  <c r="O20"/>
  <c r="P20"/>
  <c r="E19"/>
  <c r="F19"/>
  <c r="G19"/>
  <c r="H19"/>
  <c r="I19"/>
  <c r="J19"/>
  <c r="K19"/>
  <c r="L19"/>
  <c r="M19"/>
  <c r="N19"/>
  <c r="O19"/>
  <c r="P19"/>
  <c r="H18"/>
  <c r="I18"/>
  <c r="J18"/>
  <c r="K18"/>
  <c r="L18"/>
  <c r="M18"/>
  <c r="N18"/>
  <c r="O18"/>
  <c r="P18"/>
  <c r="F17"/>
  <c r="G17"/>
  <c r="H17"/>
  <c r="I17"/>
  <c r="J17"/>
  <c r="K17"/>
  <c r="L17"/>
  <c r="M17"/>
  <c r="N17"/>
  <c r="O17"/>
  <c r="P17"/>
  <c r="Q17"/>
  <c r="E16"/>
  <c r="F16"/>
  <c r="G16"/>
  <c r="H16"/>
  <c r="I16"/>
  <c r="J16"/>
  <c r="K16"/>
  <c r="L16"/>
  <c r="M16"/>
  <c r="N16"/>
  <c r="O16"/>
  <c r="P16"/>
  <c r="F25"/>
  <c r="E14"/>
  <c r="Q14"/>
  <c r="Q13"/>
  <c r="Q12"/>
  <c r="F10"/>
  <c r="E7"/>
  <c r="E10"/>
  <c r="Q9"/>
  <c r="Q8"/>
  <c r="H6"/>
  <c r="J6"/>
  <c r="L6"/>
  <c r="N6"/>
  <c r="P6"/>
  <c r="Q5"/>
  <c r="Q4"/>
  <c r="F27"/>
  <c r="Q19"/>
  <c r="Q16"/>
  <c r="Q18"/>
  <c r="Q20"/>
  <c r="Q21"/>
  <c r="E25"/>
  <c r="E27"/>
  <c r="E29"/>
  <c r="F28"/>
  <c r="F29"/>
  <c r="G28"/>
  <c r="G25"/>
  <c r="H15"/>
  <c r="H25"/>
  <c r="I15"/>
  <c r="I25"/>
  <c r="J15"/>
  <c r="J25"/>
  <c r="K15"/>
  <c r="K25"/>
  <c r="L15"/>
  <c r="L25"/>
  <c r="M15"/>
  <c r="M25"/>
  <c r="N15"/>
  <c r="N25"/>
  <c r="O15"/>
  <c r="O25"/>
  <c r="P15"/>
  <c r="P25"/>
  <c r="Q15"/>
  <c r="Q25"/>
  <c r="G7"/>
  <c r="H7"/>
  <c r="I7"/>
  <c r="J7"/>
  <c r="K7"/>
  <c r="L7"/>
  <c r="M7"/>
  <c r="N7"/>
  <c r="O7"/>
  <c r="P7"/>
  <c r="Q7"/>
  <c r="G10"/>
  <c r="G27"/>
  <c r="G29"/>
  <c r="H28"/>
  <c r="H10"/>
  <c r="H27"/>
  <c r="H29"/>
  <c r="I28"/>
  <c r="I10"/>
  <c r="I27"/>
  <c r="I29"/>
  <c r="J28"/>
  <c r="J10"/>
  <c r="J27"/>
  <c r="J29"/>
  <c r="K28"/>
  <c r="K10"/>
  <c r="K27"/>
  <c r="K29"/>
  <c r="L28"/>
  <c r="L10"/>
  <c r="L27"/>
  <c r="L29"/>
  <c r="M28"/>
  <c r="M10"/>
  <c r="M27"/>
  <c r="M29"/>
  <c r="N28"/>
  <c r="N10"/>
  <c r="N27"/>
  <c r="N29"/>
  <c r="O28"/>
  <c r="O10"/>
  <c r="O27"/>
  <c r="O29"/>
  <c r="P28"/>
  <c r="P10"/>
  <c r="P27"/>
  <c r="P29"/>
  <c r="Q10"/>
  <c r="Q27"/>
  <c r="Q29"/>
  <c r="F6" i="13"/>
  <c r="G6"/>
  <c r="H6"/>
  <c r="I6"/>
  <c r="J6"/>
  <c r="K6"/>
  <c r="L6"/>
  <c r="M6"/>
  <c r="N6"/>
  <c r="O6"/>
  <c r="P6"/>
  <c r="E6"/>
  <c r="E7"/>
  <c r="E18"/>
  <c r="E10"/>
  <c r="E11"/>
  <c r="E12"/>
  <c r="E13"/>
  <c r="E14"/>
  <c r="E15"/>
  <c r="E16"/>
  <c r="E17"/>
  <c r="E19"/>
  <c r="F18"/>
  <c r="F10"/>
  <c r="F11"/>
  <c r="F12"/>
  <c r="F13"/>
  <c r="F14"/>
  <c r="F15"/>
  <c r="F16"/>
  <c r="F17"/>
  <c r="F19"/>
  <c r="F7"/>
  <c r="F21"/>
  <c r="G18"/>
  <c r="G10"/>
  <c r="G11"/>
  <c r="G12"/>
  <c r="G13"/>
  <c r="G14"/>
  <c r="G15"/>
  <c r="G16"/>
  <c r="G17"/>
  <c r="G19"/>
  <c r="G7"/>
  <c r="G21"/>
  <c r="H18"/>
  <c r="H10"/>
  <c r="H11"/>
  <c r="H12"/>
  <c r="H13"/>
  <c r="H14"/>
  <c r="H15"/>
  <c r="H16"/>
  <c r="H17"/>
  <c r="H19"/>
  <c r="H7"/>
  <c r="H21"/>
  <c r="I18"/>
  <c r="I10"/>
  <c r="I11"/>
  <c r="I12"/>
  <c r="I13"/>
  <c r="I14"/>
  <c r="I15"/>
  <c r="I16"/>
  <c r="I17"/>
  <c r="I19"/>
  <c r="I7"/>
  <c r="I21"/>
  <c r="J18"/>
  <c r="J10"/>
  <c r="J11"/>
  <c r="J12"/>
  <c r="J13"/>
  <c r="J14"/>
  <c r="J15"/>
  <c r="J16"/>
  <c r="J17"/>
  <c r="J19"/>
  <c r="J7"/>
  <c r="J21"/>
  <c r="K18"/>
  <c r="K10"/>
  <c r="K11"/>
  <c r="K12"/>
  <c r="K13"/>
  <c r="K14"/>
  <c r="K15"/>
  <c r="K16"/>
  <c r="K17"/>
  <c r="K19"/>
  <c r="K7"/>
  <c r="K21"/>
  <c r="L18"/>
  <c r="L10"/>
  <c r="L11"/>
  <c r="L12"/>
  <c r="L13"/>
  <c r="L14"/>
  <c r="L15"/>
  <c r="L16"/>
  <c r="L17"/>
  <c r="L19"/>
  <c r="L7"/>
  <c r="L21"/>
  <c r="M18"/>
  <c r="M10"/>
  <c r="M11"/>
  <c r="M12"/>
  <c r="M13"/>
  <c r="M14"/>
  <c r="M15"/>
  <c r="M16"/>
  <c r="M17"/>
  <c r="M19"/>
  <c r="M7"/>
  <c r="M21"/>
  <c r="N18"/>
  <c r="N10"/>
  <c r="N11"/>
  <c r="N12"/>
  <c r="N13"/>
  <c r="N14"/>
  <c r="N15"/>
  <c r="N16"/>
  <c r="N17"/>
  <c r="N19"/>
  <c r="N7"/>
  <c r="N21"/>
  <c r="O18"/>
  <c r="O10"/>
  <c r="O11"/>
  <c r="O12"/>
  <c r="O13"/>
  <c r="O14"/>
  <c r="O15"/>
  <c r="O16"/>
  <c r="O17"/>
  <c r="O19"/>
  <c r="O7"/>
  <c r="O21"/>
  <c r="P18"/>
  <c r="P10"/>
  <c r="P11"/>
  <c r="P12"/>
  <c r="P13"/>
  <c r="P14"/>
  <c r="P15"/>
  <c r="P16"/>
  <c r="P17"/>
  <c r="P19"/>
  <c r="P7"/>
  <c r="P21"/>
  <c r="Q9"/>
  <c r="Q8"/>
  <c r="Q5"/>
  <c r="Q4"/>
  <c r="Q6"/>
  <c r="Q11"/>
  <c r="Q18"/>
  <c r="Q15"/>
  <c r="Q17"/>
  <c r="G22"/>
  <c r="F22"/>
  <c r="Q13"/>
  <c r="H22"/>
  <c r="H23"/>
  <c r="I22"/>
  <c r="I23"/>
  <c r="J22"/>
  <c r="J23"/>
  <c r="K22"/>
  <c r="K23"/>
  <c r="L22"/>
  <c r="L23"/>
  <c r="M22"/>
  <c r="M23"/>
  <c r="N22"/>
  <c r="N23"/>
  <c r="O22"/>
  <c r="O23"/>
  <c r="Q19"/>
  <c r="Q10"/>
  <c r="Q16"/>
  <c r="Q14"/>
  <c r="Q12"/>
  <c r="E21"/>
  <c r="Q7"/>
  <c r="P22"/>
  <c r="F23"/>
  <c r="G23"/>
  <c r="P23"/>
  <c r="Q21"/>
  <c r="E22"/>
  <c r="Q22"/>
  <c r="Q23"/>
  <c r="C25"/>
  <c r="E23"/>
  <c r="F6" i="23"/>
  <c r="G6"/>
  <c r="G7"/>
  <c r="H6"/>
  <c r="I6"/>
  <c r="J6"/>
  <c r="K6"/>
  <c r="L6"/>
  <c r="M6"/>
  <c r="N6"/>
  <c r="O6"/>
  <c r="P6"/>
  <c r="E6"/>
  <c r="E7"/>
  <c r="E10"/>
  <c r="E11"/>
  <c r="E12"/>
  <c r="E13"/>
  <c r="E14"/>
  <c r="E15"/>
  <c r="E16"/>
  <c r="E17"/>
  <c r="E18"/>
  <c r="F7"/>
  <c r="F10"/>
  <c r="F11"/>
  <c r="G11"/>
  <c r="F12"/>
  <c r="F13"/>
  <c r="G13"/>
  <c r="F14"/>
  <c r="F15"/>
  <c r="G15"/>
  <c r="F16"/>
  <c r="F17"/>
  <c r="G17"/>
  <c r="F18"/>
  <c r="G10"/>
  <c r="G12"/>
  <c r="G14"/>
  <c r="G16"/>
  <c r="G18"/>
  <c r="H7"/>
  <c r="H10"/>
  <c r="H12"/>
  <c r="H14"/>
  <c r="H16"/>
  <c r="H18"/>
  <c r="I7"/>
  <c r="I10"/>
  <c r="I12"/>
  <c r="I14"/>
  <c r="I16"/>
  <c r="I18"/>
  <c r="J7"/>
  <c r="J10"/>
  <c r="J12"/>
  <c r="J14"/>
  <c r="J16"/>
  <c r="J18"/>
  <c r="K7"/>
  <c r="K10"/>
  <c r="K12"/>
  <c r="K14"/>
  <c r="K16"/>
  <c r="K18"/>
  <c r="L7"/>
  <c r="L10"/>
  <c r="L12"/>
  <c r="L14"/>
  <c r="L16"/>
  <c r="L18"/>
  <c r="M7"/>
  <c r="M10"/>
  <c r="M12"/>
  <c r="M14"/>
  <c r="M16"/>
  <c r="M18"/>
  <c r="N7"/>
  <c r="N10"/>
  <c r="N12"/>
  <c r="N14"/>
  <c r="N16"/>
  <c r="N18"/>
  <c r="O7"/>
  <c r="O10"/>
  <c r="O12"/>
  <c r="O14"/>
  <c r="O16"/>
  <c r="O18"/>
  <c r="P7"/>
  <c r="P10"/>
  <c r="P12"/>
  <c r="P14"/>
  <c r="P16"/>
  <c r="P18"/>
  <c r="Q18"/>
  <c r="Q16"/>
  <c r="Q14"/>
  <c r="Q12"/>
  <c r="Q10"/>
  <c r="Q9"/>
  <c r="Q8"/>
  <c r="Q6"/>
  <c r="Q5"/>
  <c r="Q4"/>
  <c r="H17"/>
  <c r="I17"/>
  <c r="J17"/>
  <c r="K17"/>
  <c r="L17"/>
  <c r="M17"/>
  <c r="N17"/>
  <c r="O17"/>
  <c r="P17"/>
  <c r="Q17"/>
  <c r="H15"/>
  <c r="I15"/>
  <c r="J15"/>
  <c r="K15"/>
  <c r="L15"/>
  <c r="M15"/>
  <c r="N15"/>
  <c r="O15"/>
  <c r="P15"/>
  <c r="Q15"/>
  <c r="H13"/>
  <c r="I13"/>
  <c r="J13"/>
  <c r="K13"/>
  <c r="L13"/>
  <c r="M13"/>
  <c r="N13"/>
  <c r="O13"/>
  <c r="P13"/>
  <c r="Q13"/>
  <c r="H11"/>
  <c r="I11"/>
  <c r="J11"/>
  <c r="K11"/>
  <c r="L11"/>
  <c r="M11"/>
  <c r="N11"/>
  <c r="O11"/>
  <c r="P11"/>
  <c r="Q11"/>
  <c r="F19"/>
  <c r="F21"/>
  <c r="E19"/>
  <c r="P19"/>
  <c r="P21"/>
  <c r="O19"/>
  <c r="O21"/>
  <c r="N19"/>
  <c r="N21"/>
  <c r="M19"/>
  <c r="M21"/>
  <c r="L19"/>
  <c r="L21"/>
  <c r="K19"/>
  <c r="K21"/>
  <c r="J19"/>
  <c r="J21"/>
  <c r="I19"/>
  <c r="I21"/>
  <c r="H19"/>
  <c r="H21"/>
  <c r="G19"/>
  <c r="P22"/>
  <c r="P23"/>
  <c r="F22"/>
  <c r="F23"/>
  <c r="Q19"/>
  <c r="O22"/>
  <c r="O23"/>
  <c r="N22"/>
  <c r="N23"/>
  <c r="M22"/>
  <c r="M23"/>
  <c r="L22"/>
  <c r="L23"/>
  <c r="K22"/>
  <c r="K23"/>
  <c r="J22"/>
  <c r="J23"/>
  <c r="I22"/>
  <c r="I23"/>
  <c r="H22"/>
  <c r="H23"/>
  <c r="Q7"/>
  <c r="E21"/>
  <c r="G21"/>
  <c r="G22"/>
  <c r="G23"/>
  <c r="Q21"/>
  <c r="E22"/>
  <c r="E23"/>
  <c r="Q22"/>
  <c r="Q23"/>
  <c r="C25"/>
  <c r="P6" i="32"/>
  <c r="O6"/>
  <c r="N6"/>
  <c r="M6"/>
  <c r="L6"/>
  <c r="K6"/>
  <c r="J6"/>
  <c r="I6"/>
  <c r="H6"/>
  <c r="G6"/>
  <c r="F6"/>
  <c r="E6"/>
  <c r="E16"/>
  <c r="F16"/>
  <c r="G16"/>
  <c r="H16"/>
  <c r="I16"/>
  <c r="J16"/>
  <c r="K16"/>
  <c r="L16"/>
  <c r="M16"/>
  <c r="N16"/>
  <c r="O16"/>
  <c r="P16"/>
  <c r="E12"/>
  <c r="P18"/>
  <c r="O18"/>
  <c r="N18"/>
  <c r="M18"/>
  <c r="L18"/>
  <c r="K18"/>
  <c r="J18"/>
  <c r="I18"/>
  <c r="H18"/>
  <c r="G18"/>
  <c r="F18"/>
  <c r="E18"/>
  <c r="Q18"/>
  <c r="E17"/>
  <c r="F17"/>
  <c r="G17"/>
  <c r="H17"/>
  <c r="I17"/>
  <c r="J17"/>
  <c r="K17"/>
  <c r="L17"/>
  <c r="M17"/>
  <c r="N17"/>
  <c r="O17"/>
  <c r="P17"/>
  <c r="E15"/>
  <c r="F15"/>
  <c r="G15"/>
  <c r="H15"/>
  <c r="I15"/>
  <c r="J15"/>
  <c r="K15"/>
  <c r="L15"/>
  <c r="M15"/>
  <c r="N15"/>
  <c r="O15"/>
  <c r="P15"/>
  <c r="E14"/>
  <c r="F14"/>
  <c r="G14"/>
  <c r="H14"/>
  <c r="I14"/>
  <c r="J14"/>
  <c r="K14"/>
  <c r="L14"/>
  <c r="M14"/>
  <c r="N14"/>
  <c r="O14"/>
  <c r="P14"/>
  <c r="Q14"/>
  <c r="E13"/>
  <c r="F13"/>
  <c r="G13"/>
  <c r="H13"/>
  <c r="I13"/>
  <c r="J13"/>
  <c r="K13"/>
  <c r="L13"/>
  <c r="M13"/>
  <c r="N13"/>
  <c r="O13"/>
  <c r="P13"/>
  <c r="F12"/>
  <c r="G12"/>
  <c r="H12"/>
  <c r="I12"/>
  <c r="J12"/>
  <c r="K12"/>
  <c r="L12"/>
  <c r="M12"/>
  <c r="N12"/>
  <c r="O12"/>
  <c r="P12"/>
  <c r="E11"/>
  <c r="F11"/>
  <c r="G11"/>
  <c r="H11"/>
  <c r="I11"/>
  <c r="J11"/>
  <c r="K11"/>
  <c r="L11"/>
  <c r="M11"/>
  <c r="N11"/>
  <c r="O11"/>
  <c r="P11"/>
  <c r="E10"/>
  <c r="F10"/>
  <c r="Q9"/>
  <c r="Q8"/>
  <c r="P7"/>
  <c r="O7"/>
  <c r="N7"/>
  <c r="M7"/>
  <c r="L7"/>
  <c r="K7"/>
  <c r="J7"/>
  <c r="I7"/>
  <c r="H7"/>
  <c r="G7"/>
  <c r="F7"/>
  <c r="Q6"/>
  <c r="Q5"/>
  <c r="Q4"/>
  <c r="F19"/>
  <c r="F21"/>
  <c r="Q12"/>
  <c r="Q16"/>
  <c r="E7"/>
  <c r="Q11"/>
  <c r="Q13"/>
  <c r="Q15"/>
  <c r="Q17"/>
  <c r="E19"/>
  <c r="G10"/>
  <c r="F22"/>
  <c r="F23"/>
  <c r="G19"/>
  <c r="G21"/>
  <c r="H10"/>
  <c r="E21"/>
  <c r="Q7"/>
  <c r="E22"/>
  <c r="E23"/>
  <c r="G22"/>
  <c r="G23"/>
  <c r="H19"/>
  <c r="I10"/>
  <c r="H21"/>
  <c r="I19"/>
  <c r="I21"/>
  <c r="J10"/>
  <c r="J19"/>
  <c r="K10"/>
  <c r="I22"/>
  <c r="I23"/>
  <c r="H22"/>
  <c r="H23"/>
  <c r="K19"/>
  <c r="K21"/>
  <c r="L10"/>
  <c r="J21"/>
  <c r="L19"/>
  <c r="M10"/>
  <c r="J22"/>
  <c r="J23"/>
  <c r="K22"/>
  <c r="K23"/>
  <c r="M19"/>
  <c r="M21"/>
  <c r="N10"/>
  <c r="L21"/>
  <c r="N19"/>
  <c r="N21"/>
  <c r="O10"/>
  <c r="L22"/>
  <c r="L23"/>
  <c r="M22"/>
  <c r="M23"/>
  <c r="O19"/>
  <c r="O21"/>
  <c r="P10"/>
  <c r="N22"/>
  <c r="N23"/>
  <c r="P19"/>
  <c r="Q10"/>
  <c r="O22"/>
  <c r="O23"/>
  <c r="P21"/>
  <c r="Q19"/>
  <c r="P22"/>
  <c r="P23"/>
  <c r="Q21"/>
  <c r="Q22"/>
  <c r="Q23"/>
  <c r="C25"/>
  <c r="E16" i="33"/>
  <c r="E12"/>
  <c r="B6"/>
  <c r="P18"/>
  <c r="O18"/>
  <c r="N18"/>
  <c r="M18"/>
  <c r="L18"/>
  <c r="K18"/>
  <c r="J18"/>
  <c r="I18"/>
  <c r="H18"/>
  <c r="G18"/>
  <c r="F18"/>
  <c r="E18"/>
  <c r="Q18"/>
  <c r="E17"/>
  <c r="F17"/>
  <c r="G17"/>
  <c r="H17"/>
  <c r="I17"/>
  <c r="J17"/>
  <c r="K17"/>
  <c r="L17"/>
  <c r="M17"/>
  <c r="N17"/>
  <c r="O17"/>
  <c r="P17"/>
  <c r="E15"/>
  <c r="F15"/>
  <c r="G15"/>
  <c r="H15"/>
  <c r="I15"/>
  <c r="J15"/>
  <c r="K15"/>
  <c r="L15"/>
  <c r="M15"/>
  <c r="N15"/>
  <c r="O15"/>
  <c r="P15"/>
  <c r="E14"/>
  <c r="E13"/>
  <c r="F13"/>
  <c r="G13"/>
  <c r="H13"/>
  <c r="I13"/>
  <c r="J13"/>
  <c r="K13"/>
  <c r="L13"/>
  <c r="M13"/>
  <c r="N13"/>
  <c r="O13"/>
  <c r="P13"/>
  <c r="E11"/>
  <c r="F11"/>
  <c r="G11"/>
  <c r="H11"/>
  <c r="I11"/>
  <c r="J11"/>
  <c r="K11"/>
  <c r="L11"/>
  <c r="M11"/>
  <c r="N11"/>
  <c r="O11"/>
  <c r="P11"/>
  <c r="E10"/>
  <c r="Q9"/>
  <c r="Q8"/>
  <c r="P6"/>
  <c r="P7"/>
  <c r="O6"/>
  <c r="O7"/>
  <c r="N6"/>
  <c r="N7"/>
  <c r="M6"/>
  <c r="M7"/>
  <c r="L6"/>
  <c r="L7"/>
  <c r="K6"/>
  <c r="K7"/>
  <c r="J6"/>
  <c r="J7"/>
  <c r="I6"/>
  <c r="I7"/>
  <c r="H6"/>
  <c r="H7"/>
  <c r="G6"/>
  <c r="G7"/>
  <c r="F6"/>
  <c r="F7"/>
  <c r="E6"/>
  <c r="Q6"/>
  <c r="Q5"/>
  <c r="Q4"/>
  <c r="F14"/>
  <c r="G14"/>
  <c r="H14"/>
  <c r="I14"/>
  <c r="J14"/>
  <c r="K14"/>
  <c r="L14"/>
  <c r="M14"/>
  <c r="N14"/>
  <c r="O14"/>
  <c r="P14"/>
  <c r="Q14"/>
  <c r="E7"/>
  <c r="F10"/>
  <c r="Q11"/>
  <c r="F12"/>
  <c r="G12"/>
  <c r="H12"/>
  <c r="I12"/>
  <c r="J12"/>
  <c r="K12"/>
  <c r="L12"/>
  <c r="M12"/>
  <c r="N12"/>
  <c r="O12"/>
  <c r="P12"/>
  <c r="Q13"/>
  <c r="Q15"/>
  <c r="F16"/>
  <c r="G16"/>
  <c r="H16"/>
  <c r="I16"/>
  <c r="J16"/>
  <c r="K16"/>
  <c r="L16"/>
  <c r="M16"/>
  <c r="N16"/>
  <c r="O16"/>
  <c r="P16"/>
  <c r="Q17"/>
  <c r="E19"/>
  <c r="F19"/>
  <c r="F21"/>
  <c r="G10"/>
  <c r="Q16"/>
  <c r="Q12"/>
  <c r="E21"/>
  <c r="Q7"/>
  <c r="F22"/>
  <c r="F23"/>
  <c r="E22"/>
  <c r="E23"/>
  <c r="G19"/>
  <c r="H10"/>
  <c r="H19"/>
  <c r="H21"/>
  <c r="I10"/>
  <c r="G21"/>
  <c r="I19"/>
  <c r="J10"/>
  <c r="G22"/>
  <c r="G23"/>
  <c r="H22"/>
  <c r="H23"/>
  <c r="J19"/>
  <c r="J21"/>
  <c r="K10"/>
  <c r="I21"/>
  <c r="I22"/>
  <c r="I23"/>
  <c r="J22"/>
  <c r="J23"/>
  <c r="K19"/>
  <c r="L10"/>
  <c r="K21"/>
  <c r="L19"/>
  <c r="L21"/>
  <c r="M10"/>
  <c r="M19"/>
  <c r="M21"/>
  <c r="N10"/>
  <c r="L22"/>
  <c r="L23"/>
  <c r="K22"/>
  <c r="K23"/>
  <c r="N19"/>
  <c r="N21"/>
  <c r="O10"/>
  <c r="M22"/>
  <c r="M23"/>
  <c r="O19"/>
  <c r="O21"/>
  <c r="P10"/>
  <c r="N22"/>
  <c r="N23"/>
  <c r="P19"/>
  <c r="Q10"/>
  <c r="O22"/>
  <c r="O23"/>
  <c r="P21"/>
  <c r="Q19"/>
  <c r="P22"/>
  <c r="P23"/>
  <c r="Q21"/>
  <c r="Q22"/>
  <c r="Q23"/>
  <c r="C25"/>
  <c r="E16" i="34"/>
  <c r="E12"/>
  <c r="F12"/>
  <c r="G12"/>
  <c r="H12"/>
  <c r="I12"/>
  <c r="J12"/>
  <c r="K12"/>
  <c r="L12"/>
  <c r="M12"/>
  <c r="N12"/>
  <c r="O12"/>
  <c r="P12"/>
  <c r="P18"/>
  <c r="O18"/>
  <c r="N18"/>
  <c r="M18"/>
  <c r="L18"/>
  <c r="K18"/>
  <c r="J18"/>
  <c r="I18"/>
  <c r="H18"/>
  <c r="G18"/>
  <c r="F18"/>
  <c r="E18"/>
  <c r="Q18"/>
  <c r="E17"/>
  <c r="F17"/>
  <c r="G17"/>
  <c r="H17"/>
  <c r="I17"/>
  <c r="J17"/>
  <c r="K17"/>
  <c r="L17"/>
  <c r="M17"/>
  <c r="N17"/>
  <c r="O17"/>
  <c r="P17"/>
  <c r="F16"/>
  <c r="G16"/>
  <c r="H16"/>
  <c r="I16"/>
  <c r="J16"/>
  <c r="K16"/>
  <c r="L16"/>
  <c r="M16"/>
  <c r="N16"/>
  <c r="O16"/>
  <c r="P16"/>
  <c r="E15"/>
  <c r="F15"/>
  <c r="G15"/>
  <c r="H15"/>
  <c r="I15"/>
  <c r="J15"/>
  <c r="K15"/>
  <c r="L15"/>
  <c r="M15"/>
  <c r="N15"/>
  <c r="O15"/>
  <c r="P15"/>
  <c r="E14"/>
  <c r="F14"/>
  <c r="G14"/>
  <c r="H14"/>
  <c r="I14"/>
  <c r="J14"/>
  <c r="K14"/>
  <c r="L14"/>
  <c r="M14"/>
  <c r="N14"/>
  <c r="O14"/>
  <c r="P14"/>
  <c r="Q14"/>
  <c r="E13"/>
  <c r="F13"/>
  <c r="G13"/>
  <c r="H13"/>
  <c r="I13"/>
  <c r="J13"/>
  <c r="K13"/>
  <c r="L13"/>
  <c r="M13"/>
  <c r="N13"/>
  <c r="O13"/>
  <c r="P13"/>
  <c r="E11"/>
  <c r="F11"/>
  <c r="G11"/>
  <c r="H11"/>
  <c r="I11"/>
  <c r="J11"/>
  <c r="K11"/>
  <c r="L11"/>
  <c r="M11"/>
  <c r="N11"/>
  <c r="O11"/>
  <c r="P11"/>
  <c r="E10"/>
  <c r="F10"/>
  <c r="Q9"/>
  <c r="Q8"/>
  <c r="P6"/>
  <c r="P7"/>
  <c r="O6"/>
  <c r="O7"/>
  <c r="N6"/>
  <c r="N7"/>
  <c r="M6"/>
  <c r="M7"/>
  <c r="L6"/>
  <c r="L7"/>
  <c r="K6"/>
  <c r="K7"/>
  <c r="J6"/>
  <c r="J7"/>
  <c r="I6"/>
  <c r="I7"/>
  <c r="H6"/>
  <c r="H7"/>
  <c r="G6"/>
  <c r="G7"/>
  <c r="F6"/>
  <c r="F7"/>
  <c r="E6"/>
  <c r="Q6"/>
  <c r="Q5"/>
  <c r="Q4"/>
  <c r="F19"/>
  <c r="F21"/>
  <c r="Q12"/>
  <c r="Q16"/>
  <c r="E7"/>
  <c r="Q11"/>
  <c r="Q13"/>
  <c r="Q15"/>
  <c r="Q17"/>
  <c r="E19"/>
  <c r="G10"/>
  <c r="F22"/>
  <c r="F23"/>
  <c r="G19"/>
  <c r="G21"/>
  <c r="H10"/>
  <c r="E21"/>
  <c r="Q7"/>
  <c r="E22"/>
  <c r="E23"/>
  <c r="G22"/>
  <c r="G23"/>
  <c r="H19"/>
  <c r="I10"/>
  <c r="H21"/>
  <c r="I19"/>
  <c r="I21"/>
  <c r="J10"/>
  <c r="J19"/>
  <c r="K10"/>
  <c r="I22"/>
  <c r="I23"/>
  <c r="H22"/>
  <c r="H23"/>
  <c r="K19"/>
  <c r="K21"/>
  <c r="L10"/>
  <c r="J21"/>
  <c r="L19"/>
  <c r="M10"/>
  <c r="J22"/>
  <c r="J23"/>
  <c r="K22"/>
  <c r="K23"/>
  <c r="M19"/>
  <c r="M21"/>
  <c r="N10"/>
  <c r="L21"/>
  <c r="N19"/>
  <c r="N21"/>
  <c r="O10"/>
  <c r="L22"/>
  <c r="L23"/>
  <c r="M22"/>
  <c r="M23"/>
  <c r="O19"/>
  <c r="O21"/>
  <c r="P10"/>
  <c r="N22"/>
  <c r="N23"/>
  <c r="P19"/>
  <c r="Q10"/>
  <c r="O22"/>
  <c r="O23"/>
  <c r="P21"/>
  <c r="Q19"/>
  <c r="P22"/>
  <c r="P23"/>
  <c r="Q21"/>
  <c r="Q22"/>
  <c r="Q23"/>
  <c r="C25"/>
  <c r="D4" i="1"/>
  <c r="D5"/>
  <c r="B6"/>
  <c r="D6"/>
  <c r="D7"/>
  <c r="D8"/>
  <c r="D9"/>
  <c r="G4"/>
  <c r="G5"/>
  <c r="G12"/>
  <c r="D10"/>
  <c r="G6"/>
  <c r="G11"/>
  <c r="G7"/>
  <c r="D16"/>
  <c r="D11"/>
  <c r="D15"/>
  <c r="D17"/>
  <c r="D19"/>
  <c r="D18"/>
</calcChain>
</file>

<file path=xl/comments1.xml><?xml version="1.0" encoding="utf-8"?>
<comments xmlns="http://schemas.openxmlformats.org/spreadsheetml/2006/main">
  <authors>
    <author>Author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Ideally before looking at the cash flow this would be the capitalization amount required. However, it is best to first do the cash flow forecast.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Possible gearing scenarios for Munaku. </t>
        </r>
      </text>
    </comment>
    <comment ref="D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Given the current structure this is the viable option to be taken up.</t>
        </r>
      </text>
    </comment>
  </commentList>
</comments>
</file>

<file path=xl/comments10.xml><?xml version="1.0" encoding="utf-8"?>
<comments xmlns="http://schemas.openxmlformats.org/spreadsheetml/2006/main">
  <authors>
    <author>Author</author>
  </authors>
  <commentList>
    <comment ref="D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overdraft in the balance sheet</t>
        </r>
      </text>
    </comment>
  </commentList>
</comments>
</file>

<file path=xl/comments11.xml><?xml version="1.0" encoding="utf-8"?>
<comments xmlns="http://schemas.openxmlformats.org/spreadsheetml/2006/main">
  <authors>
    <author>Author</author>
  </authors>
  <commentList>
    <comment ref="D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overdraft in the balance sheet</t>
        </r>
      </text>
    </comment>
  </commentList>
</comments>
</file>

<file path=xl/comments12.xml><?xml version="1.0" encoding="utf-8"?>
<comments xmlns="http://schemas.openxmlformats.org/spreadsheetml/2006/main">
  <authors>
    <author>Author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Figures for the existing loan only</t>
        </r>
      </text>
    </comment>
  </commentList>
</comments>
</file>

<file path=xl/comments13.xml><?xml version="1.0" encoding="utf-8"?>
<comments xmlns="http://schemas.openxmlformats.org/spreadsheetml/2006/main">
  <authors>
    <author>Author</author>
  </authors>
  <commentList>
    <comment ref="C2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from the loan repayment figures computed on Munaku 12m cashflow. 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 how the cashflow figures differ with pprofit figures</t>
        </r>
      </text>
    </comment>
  </commentList>
</comments>
</file>

<file path=xl/comments14.xml><?xml version="1.0" encoding="utf-8"?>
<comments xmlns="http://schemas.openxmlformats.org/spreadsheetml/2006/main">
  <authors>
    <author>Author</author>
  </authors>
  <commentList>
    <comment ref="I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 how the cashflow figures differ with pprofit figures</t>
        </r>
      </text>
    </comment>
  </commentList>
</comments>
</file>

<file path=xl/comments15.xml><?xml version="1.0" encoding="utf-8"?>
<comments xmlns="http://schemas.openxmlformats.org/spreadsheetml/2006/main">
  <authors>
    <author>Author</author>
  </authors>
  <commentList>
    <comment ref="C2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from the loan repayment figures computed on Munaku 12m cashflow. 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 how the cashflow figures differ with pprofit figures</t>
        </r>
      </text>
    </comment>
  </commentList>
</comments>
</file>

<file path=xl/comments16.xml><?xml version="1.0" encoding="utf-8"?>
<comments xmlns="http://schemas.openxmlformats.org/spreadsheetml/2006/main">
  <authors>
    <author>Author</author>
  </authors>
  <commentList>
    <comment ref="C2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from the loan repayment figures computed on Munaku 12m cashflow. 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 how the cashflow figures differ with pprofit figures</t>
        </r>
      </text>
    </comment>
  </commentList>
</comments>
</file>

<file path=xl/comments17.xml><?xml version="1.0" encoding="utf-8"?>
<comments xmlns="http://schemas.openxmlformats.org/spreadsheetml/2006/main">
  <authors>
    <author>Author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change to 488,025 when price limit is removed.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 amount will change to 30,000 on the assumption that all equipment is hired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Changes from 12m to 15m per month when all equipment is hired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only buildings of 170m will be depreciated over 20 years. 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Depreciation would change to only shs 708,333 if the other equipment were hired instead.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Interest for old loan only, to change when new structure is introduced and computed below</t>
        </r>
      </text>
    </comment>
    <comment ref="D2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Yellow colour means the content of those cells could be changed with assumptions</t>
        </r>
      </text>
    </comment>
    <comment ref="L3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Figures Figures for the existing loan only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Will change to shs 360,000 when all equipment is hired</t>
        </r>
      </text>
    </comment>
    <comment ref="C6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change to only shs. 8,500 when all equipment is hired</t>
        </r>
      </text>
    </comment>
    <comment ref="C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Figures to change as computed above with new gearing structure</t>
        </r>
      </text>
    </comment>
  </commentList>
</comments>
</file>

<file path=xl/comments18.xml><?xml version="1.0" encoding="utf-8"?>
<comments xmlns="http://schemas.openxmlformats.org/spreadsheetml/2006/main">
  <authors>
    <author>Author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Changes to 488,025 when price limit is removed.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shifts to next month when credit period increases to 2 months.</t>
        </r>
      </text>
    </comment>
    <comment ref="Q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Total changes to 7,200,000 when credit is increased to 2 months.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These will be filled in with the equity and debt figures suggested to fund the business. 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 figures will change when the suggestion to leave out land purchase is adopted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 figure will become shs 170m when the suggestion to hire equipment is adopted.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 figure will change to shs. 30,000 when all equipment is to be hired instead.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Figure to reduce to 0 when dividends are droped in the first year.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Repayment figure  Applies only to the existing loan of shs 7500m.  </t>
        </r>
      </text>
    </comment>
    <comment ref="K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Figures Figures for the existing loan only</t>
        </r>
      </text>
    </comment>
    <comment ref="I7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 how the cashflow figures differ with pprofit figures</t>
        </r>
      </text>
    </comment>
  </commentList>
</comments>
</file>

<file path=xl/comments19.xml><?xml version="1.0" encoding="utf-8"?>
<comments xmlns="http://schemas.openxmlformats.org/spreadsheetml/2006/main">
  <authors>
    <author>Author</author>
  </authors>
  <commentList>
    <comment ref="E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Since price is limited to shs 450m, the margin of 20% or 30% cannot be attained.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Since price is limited to shs 450m, the margin of 20% or 30% cannot be attained.</t>
        </r>
      </text>
    </comment>
  </commentList>
</comments>
</file>

<file path=xl/comments20.xml><?xml version="1.0" encoding="utf-8"?>
<comments xmlns="http://schemas.openxmlformats.org/spreadsheetml/2006/main">
  <authors>
    <author>Author</author>
  </authors>
  <commentList>
    <comment ref="C2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from the loan repayment figures computed on Munaku 12m cashflow. 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 how the cashflow figures differ with pprofit figures</t>
        </r>
      </text>
    </comment>
  </commentList>
</comments>
</file>

<file path=xl/comments21.xml><?xml version="1.0" encoding="utf-8"?>
<comments xmlns="http://schemas.openxmlformats.org/spreadsheetml/2006/main">
  <authors>
    <author>Author</author>
  </authors>
  <commentList>
    <comment ref="C2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from the loan repayment figures computed on Munaku 12m cashflow. 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 how the cashflow figures differ with pprofit figures</t>
        </r>
      </text>
    </comment>
  </commentList>
</comments>
</file>

<file path=xl/comments22.xml><?xml version="1.0" encoding="utf-8"?>
<comments xmlns="http://schemas.openxmlformats.org/spreadsheetml/2006/main">
  <authors>
    <author>Author</author>
  </authors>
  <commentList>
    <comment ref="C2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from the loan repayment figures computed on Munaku 12m cashflow. 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 how the cashflow figures differ with pprofit figures</t>
        </r>
      </text>
    </comment>
  </commentList>
</comments>
</file>

<file path=xl/comments23.xml><?xml version="1.0" encoding="utf-8"?>
<comments xmlns="http://schemas.openxmlformats.org/spreadsheetml/2006/main">
  <authors>
    <author>Author</author>
  </authors>
  <commentList>
    <comment ref="C2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from the loan repayment figures computed on Munaku 12m cashflow. 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 how the cashflow figures differ with pprofit figures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D1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overdraft in the balance sheet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D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overdraft in the balance sheet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D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overdraft in the balance sheet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D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overdraft in the balance sheet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D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overdraft in the balance sheet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D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overdraft in the balance sheet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D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overdraft in the balance sheet</t>
        </r>
      </text>
    </comment>
  </commentList>
</comments>
</file>

<file path=xl/sharedStrings.xml><?xml version="1.0" encoding="utf-8"?>
<sst xmlns="http://schemas.openxmlformats.org/spreadsheetml/2006/main" count="1809" uniqueCount="359">
  <si>
    <t>Total capital</t>
  </si>
  <si>
    <t>New Equity</t>
  </si>
  <si>
    <t>New Debt</t>
  </si>
  <si>
    <t>Bf capital</t>
  </si>
  <si>
    <t>Repayment over 48 months- monthly instalment</t>
  </si>
  <si>
    <t>Loan repayment and interest</t>
  </si>
  <si>
    <t>Installment/month</t>
  </si>
  <si>
    <t>Loan repayment(including interest)</t>
  </si>
  <si>
    <t xml:space="preserve"> statements</t>
  </si>
  <si>
    <t>What if?</t>
  </si>
  <si>
    <t>Ideal Zero Based Budget bid</t>
  </si>
  <si>
    <t>Munaku's Incremental bid</t>
  </si>
  <si>
    <t>Expected actual profit</t>
  </si>
  <si>
    <t>Actual profit based on adjusted (ZBB) bid price</t>
  </si>
  <si>
    <t>Gravel</t>
  </si>
  <si>
    <t>Materials: Gravel in tonnes</t>
  </si>
  <si>
    <t>Ideal (ZBB) bid</t>
  </si>
  <si>
    <t>12+3=15/kms</t>
  </si>
  <si>
    <t>15m/kms</t>
  </si>
  <si>
    <t>354,167 per kms</t>
  </si>
  <si>
    <t xml:space="preserve">Interest/year </t>
  </si>
  <si>
    <t>Total receipts</t>
  </si>
  <si>
    <t>Payments</t>
  </si>
  <si>
    <t>Total payments</t>
  </si>
  <si>
    <t xml:space="preserve">Net cash </t>
  </si>
  <si>
    <t>Opening balance</t>
  </si>
  <si>
    <t>Closing balance</t>
  </si>
  <si>
    <t>Actual margin/kms</t>
  </si>
  <si>
    <t>Estimated profit for year</t>
  </si>
  <si>
    <t>(margin per kmx24kms</t>
  </si>
  <si>
    <t>Margin 20%</t>
  </si>
  <si>
    <t>Acceptable market price</t>
  </si>
  <si>
    <t>1,250,000 per kms (for 3 years)</t>
  </si>
  <si>
    <t>Additional land 5 acres</t>
  </si>
  <si>
    <t>Building and equipment</t>
  </si>
  <si>
    <t>Owners dividends/drawings</t>
  </si>
  <si>
    <t>10m/month</t>
  </si>
  <si>
    <t>Total working capital (short term)</t>
  </si>
  <si>
    <t>Total fixed assets investment (long term)</t>
  </si>
  <si>
    <t>Provision for taxation 30%</t>
  </si>
  <si>
    <t xml:space="preserve">Munaku Cash Flow Projections  </t>
    <phoneticPr fontId="10" type="noConversion"/>
  </si>
  <si>
    <r>
      <t>Net cash</t>
    </r>
    <r>
      <rPr>
        <b/>
        <sz val="11"/>
        <color indexed="8"/>
        <rFont val="Calibri"/>
        <family val="2"/>
      </rPr>
      <t xml:space="preserve"> flow</t>
    </r>
    <r>
      <rPr>
        <b/>
        <sz val="11"/>
        <color theme="1"/>
        <rFont val="Calibri"/>
        <family val="2"/>
        <scheme val="minor"/>
      </rPr>
      <t xml:space="preserve"> </t>
    </r>
    <phoneticPr fontId="10" type="noConversion"/>
  </si>
  <si>
    <t>Oct</t>
  </si>
  <si>
    <t>Oct</t>
    <phoneticPr fontId="10" type="noConversion"/>
  </si>
  <si>
    <t>Year</t>
    <phoneticPr fontId="10" type="noConversion"/>
  </si>
  <si>
    <t xml:space="preserve">Munaku Income and Expenditure Projections  </t>
    <phoneticPr fontId="10" type="noConversion"/>
  </si>
  <si>
    <t xml:space="preserve">Munaku Cash Flow Projections  </t>
    <phoneticPr fontId="10" type="noConversion"/>
  </si>
  <si>
    <t>Apr</t>
  </si>
  <si>
    <t>Jun</t>
  </si>
  <si>
    <t>Jul</t>
  </si>
  <si>
    <t>Sep</t>
  </si>
  <si>
    <t>Total</t>
    <phoneticPr fontId="10" type="noConversion"/>
  </si>
  <si>
    <t>Jan</t>
    <phoneticPr fontId="10" type="noConversion"/>
  </si>
  <si>
    <t>Projected Income (5 Years)</t>
    <phoneticPr fontId="10" type="noConversion"/>
  </si>
  <si>
    <t>Projected Cash Flow (5 Years)</t>
    <phoneticPr fontId="10" type="noConversion"/>
  </si>
  <si>
    <t>Projected Income (1 Year)</t>
    <phoneticPr fontId="10" type="noConversion"/>
  </si>
  <si>
    <t>Projected Cash Flow (1 Year)</t>
    <phoneticPr fontId="10" type="noConversion"/>
  </si>
  <si>
    <t xml:space="preserve"> </t>
    <phoneticPr fontId="10" type="noConversion"/>
  </si>
  <si>
    <t>Financing activities:</t>
    <phoneticPr fontId="10" type="noConversion"/>
  </si>
  <si>
    <t>Dividend activities:</t>
    <phoneticPr fontId="10" type="noConversion"/>
  </si>
  <si>
    <t>Drawings</t>
    <phoneticPr fontId="10" type="noConversion"/>
  </si>
  <si>
    <t>Net cash flow</t>
    <phoneticPr fontId="10" type="noConversion"/>
  </si>
  <si>
    <t>Net change in cash position</t>
    <phoneticPr fontId="10" type="noConversion"/>
  </si>
  <si>
    <t>For the period ended 31st December 2007.</t>
    <phoneticPr fontId="10" type="noConversion"/>
  </si>
  <si>
    <t>Net cash flow</t>
    <phoneticPr fontId="10" type="noConversion"/>
  </si>
  <si>
    <t>NPV/Cost %</t>
    <phoneticPr fontId="10" type="noConversion"/>
  </si>
  <si>
    <t>Zero</t>
    <phoneticPr fontId="10" type="noConversion"/>
  </si>
  <si>
    <t>Low</t>
    <phoneticPr fontId="10" type="noConversion"/>
  </si>
  <si>
    <t>High</t>
    <phoneticPr fontId="10" type="noConversion"/>
  </si>
  <si>
    <t>1:1</t>
    <phoneticPr fontId="10" type="noConversion"/>
  </si>
  <si>
    <t>2:1</t>
    <phoneticPr fontId="10" type="noConversion"/>
  </si>
  <si>
    <t>1:2</t>
    <phoneticPr fontId="10" type="noConversion"/>
  </si>
  <si>
    <t>New required</t>
    <phoneticPr fontId="10" type="noConversion"/>
  </si>
  <si>
    <t>New capital</t>
    <phoneticPr fontId="10" type="noConversion"/>
  </si>
  <si>
    <t>% new capital</t>
    <phoneticPr fontId="10" type="noConversion"/>
  </si>
  <si>
    <t>Munaku Capital Forecast</t>
    <phoneticPr fontId="10" type="noConversion"/>
  </si>
  <si>
    <t>Munaku projected income statement Year 1 (shs'000)</t>
    <phoneticPr fontId="10" type="noConversion"/>
  </si>
  <si>
    <t>Munaku projected cash flow statement year 1 (shs'000)</t>
    <phoneticPr fontId="10" type="noConversion"/>
  </si>
  <si>
    <t>Opening equity</t>
    <phoneticPr fontId="10" type="noConversion"/>
  </si>
  <si>
    <t>Closing equity</t>
    <phoneticPr fontId="10" type="noConversion"/>
  </si>
  <si>
    <t xml:space="preserve">Return on Investment (Equity) % </t>
    <phoneticPr fontId="10" type="noConversion"/>
  </si>
  <si>
    <t>Indirect costs:</t>
    <phoneticPr fontId="10" type="noConversion"/>
  </si>
  <si>
    <t>Sub-total</t>
    <phoneticPr fontId="10" type="noConversion"/>
  </si>
  <si>
    <t>Sub-total</t>
    <phoneticPr fontId="10" type="noConversion"/>
  </si>
  <si>
    <t>Profit margin per kms(total cost) %</t>
    <phoneticPr fontId="10" type="noConversion"/>
  </si>
  <si>
    <t xml:space="preserve">Munaku Income and Expenditure Projections  </t>
    <phoneticPr fontId="10" type="noConversion"/>
  </si>
  <si>
    <t>Some performance indicators</t>
  </si>
  <si>
    <t>Shs'000</t>
  </si>
  <si>
    <t xml:space="preserve">Return on Investment (Equity)% </t>
  </si>
  <si>
    <t>A</t>
  </si>
  <si>
    <t>B</t>
  </si>
  <si>
    <t>C</t>
  </si>
  <si>
    <t>D</t>
  </si>
  <si>
    <t>Cashflow per year in shs' 000</t>
  </si>
  <si>
    <t>NPV(15%)</t>
  </si>
  <si>
    <t>NPV(30%)</t>
  </si>
  <si>
    <t>If you had 400m to invest what projects would you choose?</t>
  </si>
  <si>
    <t>Land</t>
  </si>
  <si>
    <t>Working capital:</t>
  </si>
  <si>
    <t>Material</t>
  </si>
  <si>
    <t>Startup capital</t>
  </si>
  <si>
    <t>Buildings</t>
  </si>
  <si>
    <t>Machine hire</t>
  </si>
  <si>
    <t>one</t>
  </si>
  <si>
    <t>Two</t>
  </si>
  <si>
    <t>Three</t>
  </si>
  <si>
    <t>Four</t>
  </si>
  <si>
    <t>Five</t>
  </si>
  <si>
    <t>Road work done in Kms</t>
  </si>
  <si>
    <t>Price offered</t>
  </si>
  <si>
    <t>Direct costs:</t>
  </si>
  <si>
    <t xml:space="preserve">Munaku </t>
  </si>
  <si>
    <t xml:space="preserve">Munaku Contractors  Funds  Flow </t>
  </si>
  <si>
    <t>Fixed Assets</t>
  </si>
  <si>
    <t>Items</t>
  </si>
  <si>
    <t>once</t>
  </si>
  <si>
    <t>Machinery</t>
  </si>
  <si>
    <t>Management salaries</t>
  </si>
  <si>
    <t>354,1667 per kms</t>
  </si>
  <si>
    <t>354,167per kms</t>
  </si>
  <si>
    <t>Why Munaku did not realise his target profit ( using the adjusted bid price)</t>
  </si>
  <si>
    <t>Rate</t>
  </si>
  <si>
    <t>IRR (%)</t>
  </si>
  <si>
    <t>Return on investment</t>
  </si>
  <si>
    <t>Actual 10 kms</t>
  </si>
  <si>
    <t>90,000kms @ 22,000</t>
  </si>
  <si>
    <t>620m</t>
  </si>
  <si>
    <t>130m</t>
  </si>
  <si>
    <t>100,000lts @3,200</t>
  </si>
  <si>
    <t>920m</t>
  </si>
  <si>
    <t>150m</t>
  </si>
  <si>
    <t>4600m</t>
  </si>
  <si>
    <t>Profits</t>
  </si>
  <si>
    <t>Budgeted</t>
  </si>
  <si>
    <t>6.25m</t>
  </si>
  <si>
    <t xml:space="preserve">Usage </t>
  </si>
  <si>
    <t>17.5m</t>
  </si>
  <si>
    <t>4.25m</t>
  </si>
  <si>
    <t>Volume</t>
  </si>
  <si>
    <t>Cost per unit</t>
    <phoneticPr fontId="10" type="noConversion"/>
  </si>
  <si>
    <t>Price less expected cost</t>
    <phoneticPr fontId="10" type="noConversion"/>
  </si>
  <si>
    <t xml:space="preserve">Price less ZBB cost </t>
    <phoneticPr fontId="10" type="noConversion"/>
  </si>
  <si>
    <t>Cost per unit</t>
    <phoneticPr fontId="10" type="noConversion"/>
  </si>
  <si>
    <t>U</t>
    <phoneticPr fontId="10" type="noConversion"/>
  </si>
  <si>
    <t>F</t>
    <phoneticPr fontId="10" type="noConversion"/>
  </si>
  <si>
    <t>U</t>
    <phoneticPr fontId="10" type="noConversion"/>
  </si>
  <si>
    <r>
      <t xml:space="preserve">Variancence due to  </t>
    </r>
    <r>
      <rPr>
        <b/>
        <sz val="11"/>
        <color indexed="8"/>
        <rFont val="Calibri"/>
        <family val="2"/>
      </rPr>
      <t>p</t>
    </r>
    <r>
      <rPr>
        <b/>
        <sz val="11"/>
        <color theme="1"/>
        <rFont val="Calibri"/>
        <family val="2"/>
        <scheme val="minor"/>
      </rPr>
      <t>urchaser</t>
    </r>
    <phoneticPr fontId="10" type="noConversion"/>
  </si>
  <si>
    <t>Accountability:</t>
    <phoneticPr fontId="10" type="noConversion"/>
  </si>
  <si>
    <t>Change</t>
    <phoneticPr fontId="10" type="noConversion"/>
  </si>
  <si>
    <t>Increase in stocks</t>
    <phoneticPr fontId="10" type="noConversion"/>
  </si>
  <si>
    <t>Purchase of land</t>
    <phoneticPr fontId="10" type="noConversion"/>
  </si>
  <si>
    <t>Investment activities:</t>
    <phoneticPr fontId="10" type="noConversion"/>
  </si>
  <si>
    <t>Building depreciation</t>
  </si>
  <si>
    <t>Start up cost amortisation</t>
  </si>
  <si>
    <t>Description</t>
  </si>
  <si>
    <t>Element</t>
  </si>
  <si>
    <t>9000ltsx3500</t>
  </si>
  <si>
    <t>60m/kms</t>
  </si>
  <si>
    <t>12m/kms</t>
  </si>
  <si>
    <t>15m/month</t>
  </si>
  <si>
    <t>350m/7years/24</t>
  </si>
  <si>
    <t>Total cost per kms</t>
  </si>
  <si>
    <t>8000 tonnes/ kms (8000x2kmsx3)</t>
  </si>
  <si>
    <t>8000tonnesx20000 plus vat at 20%</t>
  </si>
  <si>
    <t>100m/kms</t>
  </si>
  <si>
    <t>Price per km</t>
  </si>
  <si>
    <t>Munaku project 12 months income statement (shs'000)</t>
  </si>
  <si>
    <t>Costs</t>
  </si>
  <si>
    <t>Depreciation</t>
  </si>
  <si>
    <t>Amortisation</t>
  </si>
  <si>
    <t>2,437,500 per kms</t>
  </si>
  <si>
    <t>1,250,000 per kms for 3 years</t>
  </si>
  <si>
    <t>8,000 tonnesx20000 plus vat at 20%</t>
  </si>
  <si>
    <t>Cost item</t>
  </si>
  <si>
    <t>Narrative</t>
  </si>
  <si>
    <t>170m/20 years/24</t>
  </si>
  <si>
    <t>15mx6 months/3years/24</t>
  </si>
  <si>
    <t>Interest</t>
  </si>
  <si>
    <t>Munaku project 12 months cash flow statement (shs'000)</t>
  </si>
  <si>
    <t>Revenue receipts</t>
  </si>
  <si>
    <t>Loan Capital</t>
  </si>
  <si>
    <t>Total Variance</t>
  </si>
  <si>
    <t>Net margin (30% on cost)</t>
  </si>
  <si>
    <t>Rounded up</t>
  </si>
  <si>
    <t>Price less cost</t>
  </si>
  <si>
    <t>Net cash lost</t>
  </si>
  <si>
    <t>Cost/unit</t>
  </si>
  <si>
    <t>Efficiency</t>
  </si>
  <si>
    <t>Total cost variance</t>
  </si>
  <si>
    <t>Actual profit</t>
  </si>
  <si>
    <t>Usage</t>
  </si>
  <si>
    <t>Machine</t>
  </si>
  <si>
    <t>Fuel</t>
  </si>
  <si>
    <t>Labour</t>
  </si>
  <si>
    <t>Variance due to  machine operator</t>
  </si>
  <si>
    <t>Variance due to supervisors</t>
  </si>
  <si>
    <t>Total</t>
  </si>
  <si>
    <t>Revenue</t>
  </si>
  <si>
    <t>Cost of works:</t>
  </si>
  <si>
    <t xml:space="preserve">Materials </t>
  </si>
  <si>
    <t>Overheads</t>
  </si>
  <si>
    <t>Gross margin</t>
  </si>
  <si>
    <t>Administrative costs:</t>
  </si>
  <si>
    <t>Rent</t>
  </si>
  <si>
    <t>Utilities</t>
  </si>
  <si>
    <t>Vehicle running</t>
  </si>
  <si>
    <t>Office running</t>
  </si>
  <si>
    <t>Security</t>
  </si>
  <si>
    <t>Profit after Taxation</t>
  </si>
  <si>
    <t>profit after tax/Equity</t>
  </si>
  <si>
    <t>Return on Investment (assume equity 3.6b)</t>
  </si>
  <si>
    <t>Revenue receipt</t>
  </si>
  <si>
    <t xml:space="preserve">Munaku income and expenditure Projections  </t>
  </si>
  <si>
    <t>margin 10.7%</t>
  </si>
  <si>
    <t>Taxation</t>
  </si>
  <si>
    <t>means could change</t>
  </si>
  <si>
    <t>Loan amount</t>
  </si>
  <si>
    <t>Simple interest calculation</t>
  </si>
  <si>
    <t>y1</t>
  </si>
  <si>
    <t>y2</t>
  </si>
  <si>
    <t>y3</t>
  </si>
  <si>
    <t>y4</t>
  </si>
  <si>
    <t>y5</t>
  </si>
  <si>
    <t>Start</t>
  </si>
  <si>
    <t>Repayed</t>
  </si>
  <si>
    <t>End</t>
  </si>
  <si>
    <t>Interest/month</t>
  </si>
  <si>
    <t>Interest/year per y</t>
  </si>
  <si>
    <t>Gross revenue</t>
  </si>
  <si>
    <t>Revenue per kms</t>
  </si>
  <si>
    <t>Cost per kms</t>
  </si>
  <si>
    <t>Overhead costs per kms</t>
  </si>
  <si>
    <t>Direct cost per kms</t>
  </si>
  <si>
    <t>Profit margin per kms(total cost)%</t>
  </si>
  <si>
    <t>Gross margin per kms(direct cost)%</t>
  </si>
  <si>
    <t>Output in kms</t>
  </si>
  <si>
    <t>Material cost per kms</t>
  </si>
  <si>
    <t>Machine cost per kms</t>
  </si>
  <si>
    <t>Labour cost per kms</t>
  </si>
  <si>
    <t>Labour productivity (revenue per labour cost)</t>
  </si>
  <si>
    <t>Funds generated from operations</t>
  </si>
  <si>
    <t>Taxes paid</t>
  </si>
  <si>
    <t>Dividends/drawings paid</t>
  </si>
  <si>
    <t>Investment activities:</t>
  </si>
  <si>
    <t>Purchase of land</t>
  </si>
  <si>
    <t>Loan repayment</t>
  </si>
  <si>
    <t>Changes in working capital:</t>
  </si>
  <si>
    <t>Increase in work in progress</t>
  </si>
  <si>
    <t>Increase in stores</t>
  </si>
  <si>
    <t>Increase in debtors</t>
  </si>
  <si>
    <t>Decrease in creditors</t>
  </si>
  <si>
    <t>Decrease in cash and bank</t>
  </si>
  <si>
    <t>Cash and bank at start</t>
  </si>
  <si>
    <t>Closing cash and bank</t>
  </si>
  <si>
    <t>opening balance</t>
  </si>
  <si>
    <t xml:space="preserve">total cash </t>
  </si>
  <si>
    <t>Total use</t>
  </si>
  <si>
    <t>cash balance</t>
  </si>
  <si>
    <t>Munaku Contractors Balance Sheet as at 31st December</t>
  </si>
  <si>
    <t>Munaku Contractors  profit and loss statement for the period ended 31st December</t>
  </si>
  <si>
    <t>District levy tax 2%</t>
  </si>
  <si>
    <t>Actual profitability margin</t>
  </si>
  <si>
    <t>Projects</t>
  </si>
  <si>
    <t>Projects available to Munaku</t>
  </si>
  <si>
    <t>Year</t>
  </si>
  <si>
    <t>Loan interest</t>
  </si>
  <si>
    <t>Others</t>
  </si>
  <si>
    <t>shs'000</t>
  </si>
  <si>
    <t>Fixed assets:</t>
  </si>
  <si>
    <t>Land and buildings</t>
  </si>
  <si>
    <t>Plant and machinery</t>
  </si>
  <si>
    <t>Current assets:</t>
  </si>
  <si>
    <t>Work in progress</t>
  </si>
  <si>
    <t>Stocks</t>
  </si>
  <si>
    <t>Cash and bank</t>
  </si>
  <si>
    <t>Current liabilities:</t>
  </si>
  <si>
    <t>Trade Debtors</t>
  </si>
  <si>
    <t>Trade Creditors</t>
  </si>
  <si>
    <t>Current loan</t>
  </si>
  <si>
    <t>Net working capital</t>
  </si>
  <si>
    <t>Total assets</t>
  </si>
  <si>
    <t>Financed by:</t>
  </si>
  <si>
    <t>Share capital</t>
  </si>
  <si>
    <t>Retained profit and loss</t>
  </si>
  <si>
    <t>Bank loan</t>
  </si>
  <si>
    <t>Profits from operations</t>
  </si>
  <si>
    <t>Add back depreciation</t>
  </si>
  <si>
    <t>Interest</t>
    <phoneticPr fontId="10" type="noConversion"/>
  </si>
  <si>
    <t>Average balance</t>
    <phoneticPr fontId="10" type="noConversion"/>
  </si>
  <si>
    <t>6 months</t>
  </si>
  <si>
    <t>Equipment hire</t>
  </si>
  <si>
    <t xml:space="preserve">Overheads </t>
  </si>
  <si>
    <t>Direct labour</t>
  </si>
  <si>
    <t>Materials</t>
  </si>
  <si>
    <t>Basis</t>
  </si>
  <si>
    <t>per kms (2kmsX3months)</t>
  </si>
  <si>
    <t>9000lts per km (9000x2kmsx3months)</t>
  </si>
  <si>
    <t>Rate shs'000</t>
  </si>
  <si>
    <t>per month (3months)</t>
  </si>
  <si>
    <t>Start up costs: Management salaries</t>
  </si>
  <si>
    <t>Total start up capital</t>
  </si>
  <si>
    <t>Possible gearing (equity;debt)</t>
  </si>
  <si>
    <t xml:space="preserve">Equity </t>
  </si>
  <si>
    <t>Debt</t>
  </si>
  <si>
    <t>Particulars</t>
  </si>
  <si>
    <t>Jan</t>
  </si>
  <si>
    <t>Feb</t>
  </si>
  <si>
    <t>Mar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</si>
  <si>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</si>
  <si>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</si>
  <si>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</si>
  <si>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</si>
  <si>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</si>
  <si>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</si>
  <si>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</si>
  <si>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</si>
  <si>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</si>
  <si>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Kilometres done</t>
  </si>
  <si>
    <t>Kilometres billed</t>
  </si>
  <si>
    <t>Cost of a Kilometre of road</t>
  </si>
  <si>
    <t>Machine depreciation</t>
  </si>
  <si>
    <t>Item</t>
  </si>
  <si>
    <t>cost per unit</t>
  </si>
  <si>
    <t>Quantity</t>
  </si>
  <si>
    <t>Cost</t>
  </si>
  <si>
    <t>Materials: murram in tonnes</t>
  </si>
  <si>
    <t>Machine hire in hours</t>
  </si>
  <si>
    <t>Fuel for machines in lts</t>
  </si>
  <si>
    <t>Direct labour (man days)</t>
  </si>
  <si>
    <t>Supervision (man months)</t>
  </si>
  <si>
    <t>Total cost</t>
  </si>
  <si>
    <t>Margin 30%</t>
  </si>
  <si>
    <t>Bid price</t>
  </si>
  <si>
    <t>Actual cost</t>
  </si>
  <si>
    <t>Profit margin</t>
  </si>
  <si>
    <t>District levy 2%</t>
  </si>
  <si>
    <t>Witholding tax</t>
  </si>
  <si>
    <t>Cash received</t>
  </si>
  <si>
    <t>Net profit</t>
  </si>
  <si>
    <t>Historical cost</t>
  </si>
  <si>
    <t>Economic mark up 30%</t>
  </si>
  <si>
    <t>Expected cost</t>
  </si>
  <si>
    <t>Price</t>
  </si>
  <si>
    <t>Budgeted Profits</t>
  </si>
  <si>
    <t>Cost variance</t>
  </si>
  <si>
    <t>budgeted cost less actual cost</t>
  </si>
  <si>
    <t>Revenue variance</t>
  </si>
  <si>
    <t>Actual revenue less budgeted revenue</t>
  </si>
  <si>
    <t>Impact of Taxation</t>
  </si>
  <si>
    <t>Expected Corporate Taxation 30%</t>
  </si>
  <si>
    <t>District levy tax</t>
  </si>
  <si>
    <t>%ge of original</t>
  </si>
  <si>
    <t>Budgeted profits</t>
  </si>
  <si>
    <t>Budgeted profit</t>
  </si>
  <si>
    <t>Cost varience</t>
  </si>
  <si>
    <t>Net loss</t>
  </si>
  <si>
    <t>Why munaku did not realise his target profit (using his bid price)</t>
  </si>
  <si>
    <t>Budget</t>
  </si>
  <si>
    <t>Actual</t>
  </si>
</sst>
</file>

<file path=xl/styles.xml><?xml version="1.0" encoding="utf-8"?>
<styleSheet xmlns="http://schemas.openxmlformats.org/spreadsheetml/2006/main">
  <numFmts count="9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  <numFmt numFmtId="168" formatCode="_-* #,##0_-;\-* #,##0_-;_-* &quot;-&quot;??_-;_-@_-"/>
    <numFmt numFmtId="169" formatCode="_-* #,##0.0_-;\-* #,##0.0_-;_-* &quot;-&quot;?_-;_-@_-"/>
    <numFmt numFmtId="170" formatCode="_-* #,##0_-;\-* #,##0_-;_-* &quot;-&quot;?_-;_-@_-"/>
    <numFmt numFmtId="171" formatCode="_(* #,##0.00000_);_(* \(#,##0.00000\);_(* &quot;-&quot;??_);_(@_)"/>
    <numFmt numFmtId="172" formatCode="_(* #,##0.000_);_(* \(#,##0.0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u val="singleAccounting"/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4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165" fontId="0" fillId="0" borderId="0" xfId="1" applyNumberFormat="1" applyFont="1"/>
    <xf numFmtId="165" fontId="2" fillId="0" borderId="0" xfId="1" applyNumberFormat="1" applyFont="1"/>
    <xf numFmtId="165" fontId="3" fillId="0" borderId="0" xfId="1" applyNumberFormat="1" applyFont="1"/>
    <xf numFmtId="0" fontId="2" fillId="0" borderId="0" xfId="0" applyFont="1"/>
    <xf numFmtId="166" fontId="2" fillId="0" borderId="0" xfId="0" applyNumberFormat="1" applyFont="1"/>
    <xf numFmtId="165" fontId="0" fillId="0" borderId="0" xfId="0" applyNumberFormat="1"/>
    <xf numFmtId="165" fontId="2" fillId="0" borderId="0" xfId="0" applyNumberFormat="1" applyFont="1"/>
    <xf numFmtId="165" fontId="1" fillId="0" borderId="0" xfId="1" applyNumberFormat="1" applyFont="1"/>
    <xf numFmtId="164" fontId="0" fillId="0" borderId="0" xfId="1" applyNumberFormat="1" applyFont="1"/>
    <xf numFmtId="167" fontId="0" fillId="0" borderId="0" xfId="1" applyNumberFormat="1" applyFont="1"/>
    <xf numFmtId="168" fontId="1" fillId="0" borderId="0" xfId="1" applyNumberFormat="1" applyFont="1"/>
    <xf numFmtId="168" fontId="1" fillId="2" borderId="0" xfId="1" applyNumberFormat="1" applyFont="1" applyFill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0" xfId="0" applyFill="1"/>
    <xf numFmtId="168" fontId="0" fillId="0" borderId="0" xfId="1" applyNumberFormat="1" applyFont="1"/>
    <xf numFmtId="0" fontId="3" fillId="0" borderId="0" xfId="0" applyFont="1"/>
    <xf numFmtId="0" fontId="0" fillId="0" borderId="0" xfId="0" applyFont="1"/>
    <xf numFmtId="3" fontId="0" fillId="0" borderId="0" xfId="0" applyNumberFormat="1"/>
    <xf numFmtId="164" fontId="0" fillId="0" borderId="0" xfId="0" applyNumberFormat="1"/>
    <xf numFmtId="168" fontId="3" fillId="0" borderId="0" xfId="1" applyNumberFormat="1" applyFont="1"/>
    <xf numFmtId="0" fontId="0" fillId="0" borderId="0" xfId="0" applyAlignment="1">
      <alignment horizontal="center"/>
    </xf>
    <xf numFmtId="168" fontId="1" fillId="4" borderId="0" xfId="1" applyNumberFormat="1" applyFont="1" applyFill="1"/>
    <xf numFmtId="168" fontId="0" fillId="4" borderId="0" xfId="0" applyNumberFormat="1" applyFill="1"/>
    <xf numFmtId="165" fontId="0" fillId="2" borderId="0" xfId="1" applyNumberFormat="1" applyFont="1" applyFill="1"/>
    <xf numFmtId="165" fontId="3" fillId="2" borderId="0" xfId="1" applyNumberFormat="1" applyFont="1" applyFill="1"/>
    <xf numFmtId="168" fontId="0" fillId="4" borderId="0" xfId="1" applyNumberFormat="1" applyFont="1" applyFill="1"/>
    <xf numFmtId="165" fontId="0" fillId="4" borderId="0" xfId="1" applyNumberFormat="1" applyFont="1" applyFill="1"/>
    <xf numFmtId="165" fontId="0" fillId="3" borderId="0" xfId="0" applyNumberFormat="1" applyFill="1"/>
    <xf numFmtId="165" fontId="5" fillId="3" borderId="0" xfId="1" applyNumberFormat="1" applyFont="1" applyFill="1"/>
    <xf numFmtId="165" fontId="0" fillId="5" borderId="0" xfId="1" applyNumberFormat="1" applyFont="1" applyFill="1"/>
    <xf numFmtId="3" fontId="0" fillId="2" borderId="0" xfId="0" applyNumberFormat="1" applyFill="1"/>
    <xf numFmtId="0" fontId="0" fillId="0" borderId="0" xfId="0" applyAlignment="1"/>
    <xf numFmtId="165" fontId="8" fillId="5" borderId="0" xfId="1" applyNumberFormat="1" applyFont="1" applyFill="1"/>
    <xf numFmtId="165" fontId="8" fillId="0" borderId="0" xfId="1" applyNumberFormat="1" applyFont="1"/>
    <xf numFmtId="171" fontId="0" fillId="0" borderId="0" xfId="1" applyNumberFormat="1" applyFont="1"/>
    <xf numFmtId="165" fontId="0" fillId="2" borderId="0" xfId="0" applyNumberFormat="1" applyFill="1"/>
    <xf numFmtId="166" fontId="0" fillId="2" borderId="0" xfId="0" applyNumberFormat="1" applyFill="1" applyAlignment="1">
      <alignment horizontal="center"/>
    </xf>
    <xf numFmtId="164" fontId="0" fillId="2" borderId="0" xfId="0" applyNumberFormat="1" applyFill="1"/>
    <xf numFmtId="164" fontId="0" fillId="0" borderId="0" xfId="1" applyFont="1"/>
    <xf numFmtId="165" fontId="1" fillId="2" borderId="0" xfId="1" applyNumberFormat="1" applyFont="1" applyFill="1"/>
    <xf numFmtId="0" fontId="0" fillId="0" borderId="0" xfId="0" applyAlignment="1">
      <alignment horizontal="center"/>
    </xf>
    <xf numFmtId="165" fontId="1" fillId="4" borderId="0" xfId="1" applyNumberFormat="1" applyFont="1" applyFill="1"/>
    <xf numFmtId="0" fontId="12" fillId="0" borderId="0" xfId="0" applyFont="1" applyAlignment="1">
      <alignment horizontal="center"/>
    </xf>
    <xf numFmtId="165" fontId="0" fillId="0" borderId="1" xfId="1" applyNumberFormat="1" applyFont="1" applyBorder="1"/>
    <xf numFmtId="165" fontId="0" fillId="0" borderId="2" xfId="1" applyNumberFormat="1" applyFont="1" applyBorder="1"/>
    <xf numFmtId="165" fontId="2" fillId="0" borderId="2" xfId="1" applyNumberFormat="1" applyFont="1" applyBorder="1"/>
    <xf numFmtId="165" fontId="3" fillId="0" borderId="2" xfId="1" applyNumberFormat="1" applyFont="1" applyBorder="1"/>
    <xf numFmtId="0" fontId="11" fillId="0" borderId="0" xfId="0" applyFont="1"/>
    <xf numFmtId="0" fontId="12" fillId="0" borderId="0" xfId="0" applyFont="1"/>
    <xf numFmtId="0" fontId="0" fillId="0" borderId="1" xfId="0" applyBorder="1"/>
    <xf numFmtId="165" fontId="0" fillId="0" borderId="1" xfId="0" applyNumberFormat="1" applyBorder="1"/>
    <xf numFmtId="165" fontId="0" fillId="0" borderId="2" xfId="0" applyNumberFormat="1" applyBorder="1"/>
    <xf numFmtId="165" fontId="2" fillId="0" borderId="2" xfId="0" applyNumberFormat="1" applyFont="1" applyBorder="1"/>
    <xf numFmtId="165" fontId="13" fillId="0" borderId="0" xfId="1" applyNumberFormat="1" applyFont="1"/>
    <xf numFmtId="10" fontId="0" fillId="0" borderId="0" xfId="1" applyNumberFormat="1" applyFont="1"/>
    <xf numFmtId="165" fontId="0" fillId="0" borderId="0" xfId="1" applyNumberFormat="1" applyFont="1" applyBorder="1"/>
    <xf numFmtId="165" fontId="9" fillId="0" borderId="1" xfId="1" applyNumberFormat="1" applyFont="1" applyBorder="1"/>
    <xf numFmtId="165" fontId="9" fillId="0" borderId="0" xfId="1" applyNumberFormat="1" applyFont="1"/>
    <xf numFmtId="165" fontId="11" fillId="0" borderId="2" xfId="1" applyNumberFormat="1" applyFont="1" applyBorder="1"/>
    <xf numFmtId="165" fontId="9" fillId="0" borderId="2" xfId="1" applyNumberFormat="1" applyFont="1" applyBorder="1"/>
    <xf numFmtId="165" fontId="13" fillId="0" borderId="0" xfId="1" applyNumberFormat="1" applyFont="1" applyAlignment="1">
      <alignment horizontal="center"/>
    </xf>
    <xf numFmtId="165" fontId="9" fillId="0" borderId="3" xfId="1" applyNumberFormat="1" applyFont="1" applyBorder="1"/>
    <xf numFmtId="165" fontId="9" fillId="0" borderId="0" xfId="1" applyNumberFormat="1" applyFont="1" applyBorder="1"/>
    <xf numFmtId="165" fontId="0" fillId="0" borderId="3" xfId="1" applyNumberFormat="1" applyFont="1" applyBorder="1"/>
    <xf numFmtId="0" fontId="14" fillId="0" borderId="0" xfId="0" applyFont="1"/>
    <xf numFmtId="165" fontId="2" fillId="0" borderId="3" xfId="1" applyNumberFormat="1" applyFont="1" applyBorder="1"/>
    <xf numFmtId="165" fontId="2" fillId="0" borderId="0" xfId="1" applyNumberFormat="1" applyFont="1" applyBorder="1"/>
    <xf numFmtId="49" fontId="0" fillId="5" borderId="0" xfId="1" applyNumberFormat="1" applyFont="1" applyFill="1" applyAlignment="1">
      <alignment horizontal="center"/>
    </xf>
    <xf numFmtId="49" fontId="15" fillId="5" borderId="0" xfId="1" applyNumberFormat="1" applyFont="1" applyFill="1" applyAlignment="1">
      <alignment horizontal="center"/>
    </xf>
    <xf numFmtId="165" fontId="8" fillId="0" borderId="2" xfId="1" applyNumberFormat="1" applyFont="1" applyBorder="1"/>
    <xf numFmtId="165" fontId="0" fillId="6" borderId="2" xfId="1" applyNumberFormat="1" applyFont="1" applyFill="1" applyBorder="1"/>
    <xf numFmtId="165" fontId="3" fillId="0" borderId="3" xfId="1" applyNumberFormat="1" applyFont="1" applyBorder="1"/>
    <xf numFmtId="165" fontId="5" fillId="7" borderId="2" xfId="1" applyNumberFormat="1" applyFont="1" applyFill="1" applyBorder="1"/>
    <xf numFmtId="168" fontId="12" fillId="0" borderId="0" xfId="1" applyNumberFormat="1" applyFont="1" applyAlignment="1">
      <alignment horizontal="center"/>
    </xf>
    <xf numFmtId="168" fontId="1" fillId="0" borderId="3" xfId="1" applyNumberFormat="1" applyFont="1" applyBorder="1"/>
    <xf numFmtId="168" fontId="3" fillId="0" borderId="2" xfId="1" applyNumberFormat="1" applyFont="1" applyBorder="1"/>
    <xf numFmtId="165" fontId="1" fillId="0" borderId="3" xfId="1" applyNumberFormat="1" applyFont="1" applyBorder="1"/>
    <xf numFmtId="168" fontId="1" fillId="0" borderId="2" xfId="1" applyNumberFormat="1" applyFont="1" applyBorder="1"/>
    <xf numFmtId="0" fontId="9" fillId="0" borderId="0" xfId="0" applyFont="1" applyAlignment="1">
      <alignment horizontal="center"/>
    </xf>
    <xf numFmtId="165" fontId="9" fillId="0" borderId="0" xfId="1" applyNumberFormat="1" applyFont="1" applyAlignment="1"/>
    <xf numFmtId="10" fontId="0" fillId="2" borderId="0" xfId="0" applyNumberFormat="1" applyFill="1" applyAlignment="1">
      <alignment horizontal="center"/>
    </xf>
    <xf numFmtId="3" fontId="0" fillId="0" borderId="0" xfId="0" applyNumberFormat="1"/>
    <xf numFmtId="168" fontId="1" fillId="8" borderId="3" xfId="1" applyNumberFormat="1" applyFont="1" applyFill="1" applyBorder="1"/>
    <xf numFmtId="168" fontId="1" fillId="8" borderId="0" xfId="1" applyNumberFormat="1" applyFont="1" applyFill="1" applyBorder="1"/>
    <xf numFmtId="10" fontId="0" fillId="0" borderId="0" xfId="0" applyNumberFormat="1"/>
    <xf numFmtId="166" fontId="0" fillId="0" borderId="0" xfId="0" applyNumberFormat="1" applyFill="1" applyAlignment="1">
      <alignment horizontal="center"/>
    </xf>
    <xf numFmtId="165" fontId="1" fillId="0" borderId="2" xfId="1" applyNumberFormat="1" applyFont="1" applyBorder="1"/>
    <xf numFmtId="165" fontId="3" fillId="6" borderId="2" xfId="1" applyNumberFormat="1" applyFont="1" applyFill="1" applyBorder="1"/>
    <xf numFmtId="165" fontId="2" fillId="6" borderId="0" xfId="1" applyNumberFormat="1" applyFont="1" applyFill="1"/>
    <xf numFmtId="3" fontId="0" fillId="0" borderId="0" xfId="0" applyNumberFormat="1"/>
    <xf numFmtId="3" fontId="0" fillId="0" borderId="2" xfId="0" applyNumberFormat="1" applyBorder="1"/>
    <xf numFmtId="165" fontId="0" fillId="0" borderId="0" xfId="0" applyNumberFormat="1"/>
    <xf numFmtId="165" fontId="0" fillId="0" borderId="2" xfId="0" applyNumberFormat="1" applyBorder="1"/>
    <xf numFmtId="10" fontId="0" fillId="0" borderId="0" xfId="0" applyNumberFormat="1"/>
    <xf numFmtId="168" fontId="3" fillId="0" borderId="0" xfId="1" applyNumberFormat="1" applyFont="1" applyBorder="1"/>
    <xf numFmtId="167" fontId="11" fillId="0" borderId="0" xfId="0" applyNumberFormat="1" applyFont="1"/>
    <xf numFmtId="167" fontId="0" fillId="0" borderId="0" xfId="0" applyNumberFormat="1"/>
    <xf numFmtId="9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165" fontId="1" fillId="0" borderId="0" xfId="1" applyNumberFormat="1" applyFont="1" applyBorder="1"/>
    <xf numFmtId="165" fontId="1" fillId="0" borderId="1" xfId="1" applyNumberFormat="1" applyFont="1" applyBorder="1"/>
    <xf numFmtId="172" fontId="1" fillId="0" borderId="0" xfId="1" applyNumberFormat="1" applyFont="1"/>
    <xf numFmtId="165" fontId="3" fillId="4" borderId="2" xfId="1" applyNumberFormat="1" applyFont="1" applyFill="1" applyBorder="1"/>
    <xf numFmtId="0" fontId="0" fillId="4" borderId="0" xfId="0" applyFill="1"/>
    <xf numFmtId="0" fontId="0" fillId="4" borderId="4" xfId="0" applyFill="1" applyBorder="1"/>
    <xf numFmtId="3" fontId="0" fillId="4" borderId="4" xfId="0" applyNumberFormat="1" applyFill="1" applyBorder="1"/>
    <xf numFmtId="165" fontId="0" fillId="4" borderId="4" xfId="1" applyNumberFormat="1" applyFont="1" applyFill="1" applyBorder="1"/>
    <xf numFmtId="165" fontId="0" fillId="4" borderId="4" xfId="0" applyNumberFormat="1" applyFill="1" applyBorder="1"/>
    <xf numFmtId="0" fontId="0" fillId="0" borderId="4" xfId="0" applyBorder="1"/>
    <xf numFmtId="165" fontId="2" fillId="2" borderId="4" xfId="1" applyNumberFormat="1" applyFont="1" applyFill="1" applyBorder="1"/>
    <xf numFmtId="165" fontId="2" fillId="2" borderId="4" xfId="0" applyNumberFormat="1" applyFont="1" applyFill="1" applyBorder="1"/>
    <xf numFmtId="0" fontId="2" fillId="2" borderId="4" xfId="0" applyFont="1" applyFill="1" applyBorder="1"/>
    <xf numFmtId="168" fontId="1" fillId="4" borderId="3" xfId="1" applyNumberFormat="1" applyFont="1" applyFill="1" applyBorder="1"/>
    <xf numFmtId="165" fontId="2" fillId="4" borderId="2" xfId="0" applyNumberFormat="1" applyFont="1" applyFill="1" applyBorder="1"/>
    <xf numFmtId="165" fontId="2" fillId="2" borderId="2" xfId="0" applyNumberFormat="1" applyFont="1" applyFill="1" applyBorder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1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9" Type="http://schemas.openxmlformats.org/officeDocument/2006/relationships/worksheet" Target="worksheets/sheet2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4" Type="http://schemas.openxmlformats.org/officeDocument/2006/relationships/worksheet" Target="worksheets/sheet24.xml"/><Relationship Id="rId1" Type="http://schemas.openxmlformats.org/officeDocument/2006/relationships/worksheet" Target="worksheets/sheet1.xml"/><Relationship Id="rId32" Type="http://schemas.openxmlformats.org/officeDocument/2006/relationships/worksheet" Target="worksheets/sheet32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5" Type="http://schemas.openxmlformats.org/officeDocument/2006/relationships/worksheet" Target="worksheets/sheet5.xml"/><Relationship Id="rId36" Type="http://schemas.openxmlformats.org/officeDocument/2006/relationships/worksheet" Target="worksheets/sheet36.xml"/><Relationship Id="rId15" Type="http://schemas.openxmlformats.org/officeDocument/2006/relationships/worksheet" Target="worksheets/sheet15.xml"/><Relationship Id="rId31" Type="http://schemas.openxmlformats.org/officeDocument/2006/relationships/worksheet" Target="worksheets/sheet3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4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" Type="http://schemas.openxmlformats.org/officeDocument/2006/relationships/worksheet" Target="worksheets/sheet4.xml"/><Relationship Id="rId30" Type="http://schemas.openxmlformats.org/officeDocument/2006/relationships/worksheet" Target="worksheets/sheet30.xml"/><Relationship Id="rId9" Type="http://schemas.openxmlformats.org/officeDocument/2006/relationships/worksheet" Target="worksheets/sheet9.xml"/><Relationship Id="rId35" Type="http://schemas.openxmlformats.org/officeDocument/2006/relationships/worksheet" Target="worksheets/sheet35.xml"/><Relationship Id="rId14" Type="http://schemas.openxmlformats.org/officeDocument/2006/relationships/worksheet" Target="worksheets/sheet14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Relationship Id="rId2" Type="http://schemas.openxmlformats.org/officeDocument/2006/relationships/comments" Target="../comments10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Relationship Id="rId2" Type="http://schemas.openxmlformats.org/officeDocument/2006/relationships/comments" Target="../comments1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Relationship Id="rId2" Type="http://schemas.openxmlformats.org/officeDocument/2006/relationships/comments" Target="../comments14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5.vml"/><Relationship Id="rId2" Type="http://schemas.openxmlformats.org/officeDocument/2006/relationships/comments" Target="../comments15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6.vml"/><Relationship Id="rId2" Type="http://schemas.openxmlformats.org/officeDocument/2006/relationships/comments" Target="../comments16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7.vml"/><Relationship Id="rId2" Type="http://schemas.openxmlformats.org/officeDocument/2006/relationships/comments" Target="../comments17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8.vml"/><Relationship Id="rId2" Type="http://schemas.openxmlformats.org/officeDocument/2006/relationships/comments" Target="../comments18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9.vml"/><Relationship Id="rId2" Type="http://schemas.openxmlformats.org/officeDocument/2006/relationships/comments" Target="../comments19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0.vml"/><Relationship Id="rId2" Type="http://schemas.openxmlformats.org/officeDocument/2006/relationships/comments" Target="../comments20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1.vml"/><Relationship Id="rId2" Type="http://schemas.openxmlformats.org/officeDocument/2006/relationships/comments" Target="../comments2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2.vml"/><Relationship Id="rId2" Type="http://schemas.openxmlformats.org/officeDocument/2006/relationships/comments" Target="../comments22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3.vml"/><Relationship Id="rId2" Type="http://schemas.openxmlformats.org/officeDocument/2006/relationships/comments" Target="../comments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K108"/>
  <sheetViews>
    <sheetView workbookViewId="0">
      <selection activeCell="A4" sqref="A4"/>
    </sheetView>
  </sheetViews>
  <sheetFormatPr baseColWidth="10" defaultColWidth="8.83203125" defaultRowHeight="14"/>
  <cols>
    <col min="1" max="1" width="28.5" customWidth="1"/>
    <col min="2" max="2" width="11.6640625" customWidth="1"/>
    <col min="3" max="3" width="11.5" customWidth="1"/>
    <col min="4" max="4" width="14.5" customWidth="1"/>
    <col min="5" max="5" width="12.5" bestFit="1" customWidth="1"/>
    <col min="6" max="6" width="22.83203125" customWidth="1"/>
    <col min="7" max="7" width="12.5" bestFit="1" customWidth="1"/>
  </cols>
  <sheetData>
    <row r="2" spans="1:11">
      <c r="B2" s="123" t="s">
        <v>10</v>
      </c>
      <c r="C2" s="123"/>
      <c r="D2" s="123"/>
      <c r="F2" s="122" t="s">
        <v>11</v>
      </c>
      <c r="G2" s="122"/>
    </row>
    <row r="3" spans="1:11">
      <c r="A3" t="s">
        <v>321</v>
      </c>
      <c r="B3" s="45" t="s">
        <v>139</v>
      </c>
      <c r="C3" s="45" t="s">
        <v>323</v>
      </c>
      <c r="D3" s="45" t="s">
        <v>324</v>
      </c>
      <c r="F3" s="1" t="s">
        <v>339</v>
      </c>
      <c r="G3" s="1">
        <v>210000000</v>
      </c>
    </row>
    <row r="4" spans="1:11">
      <c r="A4" t="s">
        <v>15</v>
      </c>
      <c r="B4" s="1">
        <v>5000</v>
      </c>
      <c r="C4" s="1">
        <v>20000</v>
      </c>
      <c r="D4" s="1">
        <f>B4*C4</f>
        <v>100000000</v>
      </c>
      <c r="E4" s="1"/>
      <c r="F4" s="1" t="s">
        <v>340</v>
      </c>
      <c r="G4" s="1">
        <f>G3*0.3</f>
        <v>63000000</v>
      </c>
      <c r="H4" s="1"/>
      <c r="I4" s="1"/>
      <c r="J4" s="1"/>
      <c r="K4" s="1"/>
    </row>
    <row r="5" spans="1:11">
      <c r="A5" t="s">
        <v>326</v>
      </c>
      <c r="B5" s="1">
        <v>400</v>
      </c>
      <c r="C5" s="1">
        <v>200000</v>
      </c>
      <c r="D5" s="1">
        <f t="shared" ref="D5:D8" si="0">B5*C5</f>
        <v>80000000</v>
      </c>
      <c r="E5" s="1"/>
      <c r="F5" s="1" t="s">
        <v>341</v>
      </c>
      <c r="G5" s="1">
        <f>G3+G4</f>
        <v>273000000</v>
      </c>
      <c r="H5" s="1"/>
      <c r="I5" s="1"/>
      <c r="J5" s="1"/>
      <c r="K5" s="1"/>
    </row>
    <row r="6" spans="1:11">
      <c r="A6" t="s">
        <v>327</v>
      </c>
      <c r="B6" s="1">
        <f>B5*100</f>
        <v>40000</v>
      </c>
      <c r="C6" s="1">
        <v>3000</v>
      </c>
      <c r="D6" s="1">
        <f t="shared" si="0"/>
        <v>120000000</v>
      </c>
      <c r="E6" s="1"/>
      <c r="F6" s="1" t="s">
        <v>331</v>
      </c>
      <c r="G6" s="1">
        <f>G5*0.3</f>
        <v>81900000</v>
      </c>
      <c r="H6" s="1"/>
      <c r="I6" s="1"/>
      <c r="J6" s="1"/>
      <c r="K6" s="1"/>
    </row>
    <row r="7" spans="1:11">
      <c r="A7" t="s">
        <v>328</v>
      </c>
      <c r="B7" s="1">
        <v>10000</v>
      </c>
      <c r="C7" s="1">
        <v>900</v>
      </c>
      <c r="D7" s="1">
        <f t="shared" si="0"/>
        <v>9000000</v>
      </c>
      <c r="E7" s="1"/>
      <c r="F7" s="1" t="s">
        <v>342</v>
      </c>
      <c r="G7" s="1">
        <f>G5+G6</f>
        <v>354900000</v>
      </c>
      <c r="H7" s="1"/>
      <c r="I7" s="1"/>
      <c r="J7" s="1"/>
      <c r="K7" s="1"/>
    </row>
    <row r="8" spans="1:11">
      <c r="A8" t="s">
        <v>329</v>
      </c>
      <c r="B8" s="1">
        <v>4</v>
      </c>
      <c r="C8" s="1">
        <v>500000</v>
      </c>
      <c r="D8" s="46">
        <f t="shared" si="0"/>
        <v>2000000</v>
      </c>
      <c r="E8" s="1"/>
      <c r="F8" s="1" t="s">
        <v>183</v>
      </c>
      <c r="G8" s="1">
        <v>355000000</v>
      </c>
      <c r="H8" s="1"/>
      <c r="I8" s="1"/>
      <c r="J8" s="1"/>
      <c r="K8" s="1"/>
    </row>
    <row r="9" spans="1:11">
      <c r="A9" t="s">
        <v>330</v>
      </c>
      <c r="B9" s="1"/>
      <c r="C9" s="1"/>
      <c r="D9" s="1">
        <f>SUM(D4:D8)</f>
        <v>311000000</v>
      </c>
      <c r="E9" s="1"/>
      <c r="H9" s="1"/>
      <c r="I9" s="1"/>
      <c r="J9" s="1"/>
      <c r="K9" s="1"/>
    </row>
    <row r="10" spans="1:11">
      <c r="A10" t="s">
        <v>331</v>
      </c>
      <c r="B10" s="1"/>
      <c r="C10" s="1"/>
      <c r="D10" s="1">
        <f>D9*0.3</f>
        <v>93300000</v>
      </c>
      <c r="E10" s="1"/>
      <c r="F10" s="1"/>
      <c r="G10" s="1"/>
      <c r="H10" s="1"/>
      <c r="I10" s="1"/>
      <c r="J10" s="1"/>
      <c r="K10" s="1"/>
    </row>
    <row r="11" spans="1:11" ht="15" thickBot="1">
      <c r="A11" t="s">
        <v>332</v>
      </c>
      <c r="B11" s="1"/>
      <c r="C11" s="1"/>
      <c r="D11" s="47">
        <f>D9+D10</f>
        <v>404300000</v>
      </c>
      <c r="E11" s="1"/>
      <c r="F11" s="1" t="s">
        <v>353</v>
      </c>
      <c r="G11" s="1">
        <f>G8-G5</f>
        <v>82000000</v>
      </c>
      <c r="H11" s="1" t="s">
        <v>184</v>
      </c>
      <c r="I11" s="1"/>
      <c r="J11" s="1"/>
      <c r="K11" s="1"/>
    </row>
    <row r="12" spans="1:11" ht="15" thickTop="1">
      <c r="B12" s="1"/>
      <c r="C12" s="1"/>
      <c r="D12" s="1"/>
      <c r="E12" s="1"/>
      <c r="F12" s="1" t="s">
        <v>12</v>
      </c>
      <c r="G12" s="1">
        <f>G8-D9</f>
        <v>44000000</v>
      </c>
      <c r="H12" s="1"/>
      <c r="I12" s="1"/>
      <c r="J12" s="1"/>
      <c r="K12" s="1"/>
    </row>
    <row r="13" spans="1:11">
      <c r="E13" s="1"/>
      <c r="F13" s="1"/>
      <c r="G13" s="1"/>
      <c r="H13" s="1"/>
      <c r="I13" s="1"/>
      <c r="J13" s="1"/>
      <c r="K13" s="1"/>
    </row>
    <row r="14" spans="1:11">
      <c r="A14" s="4" t="s">
        <v>348</v>
      </c>
      <c r="E14" s="1"/>
      <c r="F14" s="1"/>
      <c r="G14" s="1"/>
      <c r="H14" s="1"/>
      <c r="I14" s="1"/>
      <c r="J14" s="1"/>
      <c r="K14" s="1"/>
    </row>
    <row r="15" spans="1:11">
      <c r="A15" t="s">
        <v>350</v>
      </c>
      <c r="B15" s="1"/>
      <c r="C15" s="1"/>
      <c r="D15" s="1">
        <f>D11*0.02</f>
        <v>8086000</v>
      </c>
      <c r="E15" s="1"/>
      <c r="F15" s="1"/>
      <c r="G15" s="1"/>
      <c r="H15" s="1"/>
      <c r="I15" s="1"/>
      <c r="J15" s="1"/>
      <c r="K15" s="1"/>
    </row>
    <row r="16" spans="1:11">
      <c r="A16" t="s">
        <v>349</v>
      </c>
      <c r="B16" s="1"/>
      <c r="C16" s="1"/>
      <c r="D16" s="1">
        <f>D10*0.3</f>
        <v>27990000</v>
      </c>
      <c r="E16" s="1"/>
      <c r="F16" s="1"/>
      <c r="G16" s="1"/>
      <c r="H16" s="1"/>
      <c r="I16" s="1"/>
      <c r="J16" s="1"/>
      <c r="K16" s="1"/>
    </row>
    <row r="17" spans="1:11">
      <c r="A17" t="s">
        <v>338</v>
      </c>
      <c r="B17" s="1"/>
      <c r="C17" s="1"/>
      <c r="D17" s="1">
        <f>D10-D15-D16</f>
        <v>57224000</v>
      </c>
      <c r="E17" s="1"/>
      <c r="F17" s="1"/>
      <c r="G17" s="1"/>
      <c r="H17" s="1"/>
      <c r="I17" s="1"/>
      <c r="J17" s="1"/>
      <c r="K17" s="1"/>
    </row>
    <row r="18" spans="1:11">
      <c r="B18" s="1"/>
      <c r="C18" s="1"/>
      <c r="D18" s="57">
        <f>D17/D10</f>
        <v>0.61333333333333329</v>
      </c>
      <c r="E18" s="1"/>
      <c r="F18" s="1"/>
      <c r="G18" s="1"/>
      <c r="H18" s="1"/>
      <c r="I18" s="1"/>
      <c r="J18" s="1"/>
      <c r="K18" s="1"/>
    </row>
    <row r="19" spans="1:11">
      <c r="B19" s="1"/>
      <c r="C19" s="1"/>
      <c r="D19" s="57">
        <f>D17/D9</f>
        <v>0.184</v>
      </c>
      <c r="E19" s="1"/>
      <c r="F19" s="1"/>
      <c r="G19" s="1"/>
      <c r="H19" s="1"/>
      <c r="I19" s="1"/>
      <c r="J19" s="1"/>
      <c r="K19" s="1"/>
    </row>
    <row r="20" spans="1:11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>
      <c r="B108" s="1"/>
      <c r="C108" s="1"/>
      <c r="D108" s="1"/>
      <c r="E108" s="1"/>
      <c r="F108" s="1"/>
      <c r="G108" s="1"/>
      <c r="H108" s="1"/>
      <c r="I108" s="1"/>
      <c r="J108" s="1"/>
      <c r="K108" s="1"/>
    </row>
  </sheetData>
  <mergeCells count="2">
    <mergeCell ref="F2:G2"/>
    <mergeCell ref="B2:D2"/>
  </mergeCells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H38"/>
  <sheetViews>
    <sheetView workbookViewId="0">
      <selection activeCell="G16" sqref="G16"/>
    </sheetView>
  </sheetViews>
  <sheetFormatPr baseColWidth="10" defaultColWidth="8.83203125" defaultRowHeight="14"/>
  <cols>
    <col min="1" max="1" width="32.1640625" bestFit="1" customWidth="1"/>
    <col min="2" max="2" width="28.5" customWidth="1"/>
    <col min="3" max="3" width="12.5" bestFit="1" customWidth="1"/>
    <col min="4" max="5" width="10.6640625" bestFit="1" customWidth="1"/>
    <col min="6" max="7" width="12.1640625" customWidth="1"/>
  </cols>
  <sheetData>
    <row r="2" spans="1:8">
      <c r="A2" s="123" t="s">
        <v>75</v>
      </c>
      <c r="B2" s="123"/>
      <c r="C2" s="123"/>
      <c r="D2" s="123"/>
      <c r="E2" s="123"/>
    </row>
    <row r="4" spans="1:8">
      <c r="A4" s="51" t="s">
        <v>114</v>
      </c>
      <c r="B4" s="45" t="s">
        <v>294</v>
      </c>
      <c r="C4" s="45" t="s">
        <v>297</v>
      </c>
      <c r="D4" s="45" t="s">
        <v>323</v>
      </c>
      <c r="E4" s="45" t="s">
        <v>267</v>
      </c>
    </row>
    <row r="5" spans="1:8">
      <c r="A5" s="67" t="s">
        <v>113</v>
      </c>
      <c r="C5" s="1"/>
      <c r="D5" s="1"/>
      <c r="E5" s="1"/>
      <c r="F5" s="1"/>
      <c r="G5" s="1"/>
      <c r="H5" s="1"/>
    </row>
    <row r="6" spans="1:8">
      <c r="A6" t="s">
        <v>97</v>
      </c>
      <c r="B6" t="s">
        <v>115</v>
      </c>
      <c r="C6" s="1">
        <v>500000</v>
      </c>
      <c r="D6" s="1">
        <v>1</v>
      </c>
      <c r="E6" s="1">
        <f>C6*D6</f>
        <v>500000</v>
      </c>
      <c r="F6" s="1"/>
      <c r="G6" s="1"/>
      <c r="H6" s="1"/>
    </row>
    <row r="7" spans="1:8">
      <c r="A7" t="s">
        <v>116</v>
      </c>
      <c r="B7" t="s">
        <v>115</v>
      </c>
      <c r="C7" s="1">
        <v>350000</v>
      </c>
      <c r="D7" s="1">
        <v>1</v>
      </c>
      <c r="E7" s="1">
        <f t="shared" ref="E7:E18" si="0">C7*D7</f>
        <v>350000</v>
      </c>
      <c r="F7" s="1"/>
      <c r="G7" s="1"/>
      <c r="H7" s="1"/>
    </row>
    <row r="8" spans="1:8">
      <c r="A8" t="s">
        <v>101</v>
      </c>
      <c r="B8" t="s">
        <v>115</v>
      </c>
      <c r="C8" s="1">
        <v>170000</v>
      </c>
      <c r="D8" s="1">
        <v>1</v>
      </c>
      <c r="E8" s="1">
        <f t="shared" si="0"/>
        <v>170000</v>
      </c>
      <c r="F8" s="1"/>
      <c r="G8" s="1"/>
      <c r="H8" s="1"/>
    </row>
    <row r="9" spans="1:8">
      <c r="A9" s="4" t="s">
        <v>38</v>
      </c>
      <c r="B9" s="4"/>
      <c r="C9" s="2"/>
      <c r="D9" s="2"/>
      <c r="E9" s="68">
        <f>SUM(E6:E8)</f>
        <v>1020000</v>
      </c>
      <c r="F9" s="1"/>
      <c r="G9" s="1"/>
      <c r="H9" s="1"/>
    </row>
    <row r="10" spans="1:8">
      <c r="A10" s="4"/>
      <c r="B10" s="4"/>
      <c r="C10" s="2"/>
      <c r="D10" s="2"/>
      <c r="E10" s="69"/>
      <c r="F10" s="1"/>
      <c r="G10" s="1"/>
      <c r="H10" s="1"/>
    </row>
    <row r="11" spans="1:8">
      <c r="A11" s="67" t="s">
        <v>98</v>
      </c>
      <c r="C11" s="1"/>
      <c r="D11" s="1"/>
      <c r="E11" s="1"/>
      <c r="F11" s="1"/>
      <c r="G11" s="1"/>
      <c r="H11" s="1"/>
    </row>
    <row r="12" spans="1:8">
      <c r="A12" t="s">
        <v>299</v>
      </c>
      <c r="B12" t="s">
        <v>289</v>
      </c>
      <c r="C12" s="1">
        <v>15000</v>
      </c>
      <c r="D12" s="1">
        <v>6</v>
      </c>
      <c r="E12" s="1">
        <f>C12*D12</f>
        <v>90000</v>
      </c>
      <c r="F12" s="1"/>
      <c r="G12" s="1"/>
      <c r="H12" s="1"/>
    </row>
    <row r="13" spans="1:8">
      <c r="A13" t="s">
        <v>290</v>
      </c>
      <c r="B13" t="s">
        <v>295</v>
      </c>
      <c r="C13" s="1">
        <v>12000</v>
      </c>
      <c r="D13" s="1">
        <v>6</v>
      </c>
      <c r="E13" s="1">
        <f t="shared" si="0"/>
        <v>72000</v>
      </c>
      <c r="F13" s="1"/>
      <c r="G13" s="1"/>
      <c r="H13" s="1"/>
    </row>
    <row r="14" spans="1:8">
      <c r="A14" t="s">
        <v>192</v>
      </c>
      <c r="B14" t="s">
        <v>296</v>
      </c>
      <c r="C14" s="10">
        <v>3.5</v>
      </c>
      <c r="D14" s="1">
        <v>54000</v>
      </c>
      <c r="E14" s="1">
        <f t="shared" si="0"/>
        <v>189000</v>
      </c>
      <c r="F14" s="1"/>
      <c r="G14" s="1"/>
      <c r="H14" s="1"/>
    </row>
    <row r="15" spans="1:8">
      <c r="A15" t="s">
        <v>291</v>
      </c>
      <c r="B15" t="s">
        <v>295</v>
      </c>
      <c r="C15" s="1">
        <v>100000</v>
      </c>
      <c r="D15" s="1">
        <v>6</v>
      </c>
      <c r="E15" s="1">
        <f t="shared" si="0"/>
        <v>600000</v>
      </c>
      <c r="F15" s="1"/>
      <c r="G15" s="1"/>
      <c r="H15" s="1"/>
    </row>
    <row r="16" spans="1:8">
      <c r="A16" t="s">
        <v>117</v>
      </c>
      <c r="B16" t="s">
        <v>298</v>
      </c>
      <c r="C16" s="1">
        <v>15000</v>
      </c>
      <c r="D16" s="1">
        <v>3</v>
      </c>
      <c r="E16" s="1">
        <f t="shared" si="0"/>
        <v>45000</v>
      </c>
      <c r="F16" s="1"/>
      <c r="G16" s="1"/>
      <c r="H16" s="1"/>
    </row>
    <row r="17" spans="1:8">
      <c r="A17" t="s">
        <v>292</v>
      </c>
      <c r="B17" t="s">
        <v>295</v>
      </c>
      <c r="C17" s="1">
        <v>72000</v>
      </c>
      <c r="D17" s="1">
        <v>6</v>
      </c>
      <c r="E17" s="1">
        <f t="shared" si="0"/>
        <v>432000</v>
      </c>
      <c r="F17" s="1"/>
      <c r="G17" s="1"/>
      <c r="H17" s="1"/>
    </row>
    <row r="18" spans="1:8">
      <c r="A18" t="s">
        <v>293</v>
      </c>
      <c r="B18" t="s">
        <v>162</v>
      </c>
      <c r="C18" s="1">
        <f>20*1.2</f>
        <v>24</v>
      </c>
      <c r="D18" s="1">
        <v>48000</v>
      </c>
      <c r="E18" s="1">
        <f t="shared" si="0"/>
        <v>1152000</v>
      </c>
      <c r="F18" s="1"/>
      <c r="G18" s="1"/>
      <c r="H18" s="1"/>
    </row>
    <row r="19" spans="1:8">
      <c r="A19" s="4" t="s">
        <v>37</v>
      </c>
      <c r="B19" s="4">
        <f>8000*2*3</f>
        <v>48000</v>
      </c>
      <c r="C19" s="2"/>
      <c r="D19" s="2"/>
      <c r="E19" s="68">
        <f>SUM(E12:E18)</f>
        <v>2580000</v>
      </c>
      <c r="F19" s="1"/>
      <c r="G19" s="1"/>
      <c r="H19" s="1"/>
    </row>
    <row r="20" spans="1:8" ht="15" thickBot="1">
      <c r="A20" s="18" t="s">
        <v>300</v>
      </c>
      <c r="B20" s="18"/>
      <c r="C20" s="3"/>
      <c r="D20" s="3"/>
      <c r="E20" s="49">
        <f>E9+E19</f>
        <v>3600000</v>
      </c>
      <c r="F20" s="1"/>
      <c r="G20" s="1"/>
      <c r="H20" s="1"/>
    </row>
    <row r="21" spans="1:8" ht="15" thickTop="1">
      <c r="C21" s="1"/>
      <c r="D21" s="1"/>
      <c r="E21" s="1"/>
      <c r="F21" s="1"/>
      <c r="G21" s="1"/>
      <c r="H21" s="1"/>
    </row>
    <row r="22" spans="1:8">
      <c r="C22" s="1"/>
      <c r="D22" s="1"/>
      <c r="E22" s="1"/>
      <c r="F22" s="1"/>
      <c r="G22" s="1"/>
      <c r="H22" s="1"/>
    </row>
    <row r="23" spans="1:8">
      <c r="C23" s="1"/>
      <c r="D23" s="1"/>
      <c r="E23" s="1"/>
      <c r="F23" s="1"/>
      <c r="G23" s="1"/>
      <c r="H23" s="1"/>
    </row>
    <row r="24" spans="1:8">
      <c r="C24" s="1"/>
      <c r="D24" s="1"/>
      <c r="E24" s="1"/>
      <c r="F24" s="1"/>
      <c r="G24" s="1"/>
      <c r="H24" s="1"/>
    </row>
    <row r="25" spans="1:8">
      <c r="A25" s="123" t="s">
        <v>301</v>
      </c>
      <c r="B25" s="123"/>
      <c r="C25" s="123"/>
      <c r="D25" s="123"/>
      <c r="E25" s="123"/>
      <c r="H25" s="1"/>
    </row>
    <row r="26" spans="1:8">
      <c r="H26" s="1"/>
    </row>
    <row r="27" spans="1:8" ht="17">
      <c r="A27" s="1"/>
      <c r="B27" s="1"/>
      <c r="C27" s="63" t="s">
        <v>66</v>
      </c>
      <c r="D27" s="63" t="s">
        <v>67</v>
      </c>
      <c r="E27" s="63" t="s">
        <v>68</v>
      </c>
      <c r="H27" s="1"/>
    </row>
    <row r="28" spans="1:8" ht="17">
      <c r="A28" s="1"/>
      <c r="B28" s="56" t="s">
        <v>3</v>
      </c>
      <c r="C28" s="70" t="s">
        <v>69</v>
      </c>
      <c r="D28" s="71" t="s">
        <v>70</v>
      </c>
      <c r="E28" s="70" t="s">
        <v>71</v>
      </c>
      <c r="H28" s="1"/>
    </row>
    <row r="29" spans="1:8">
      <c r="A29" t="s">
        <v>302</v>
      </c>
      <c r="B29" s="1">
        <f>'BS 2006-07'!G23+'BS 2006-07'!G24</f>
        <v>7071000</v>
      </c>
      <c r="C29" s="32">
        <f>B32</f>
        <v>11421000</v>
      </c>
      <c r="D29" s="35">
        <f>B32*2/3</f>
        <v>7614000</v>
      </c>
      <c r="E29" s="32">
        <f>B32/3</f>
        <v>3807000</v>
      </c>
      <c r="H29" s="1"/>
    </row>
    <row r="30" spans="1:8">
      <c r="A30" t="s">
        <v>303</v>
      </c>
      <c r="B30" s="1">
        <f>'BS 2006-07'!G25</f>
        <v>750000</v>
      </c>
      <c r="C30" s="32">
        <v>0</v>
      </c>
      <c r="D30" s="35">
        <f>B32/3</f>
        <v>3807000</v>
      </c>
      <c r="E30" s="32">
        <f>B32-E29</f>
        <v>7614000</v>
      </c>
      <c r="H30" s="1"/>
    </row>
    <row r="31" spans="1:8">
      <c r="A31" s="1" t="s">
        <v>72</v>
      </c>
      <c r="B31" s="1">
        <f>E20</f>
        <v>3600000</v>
      </c>
      <c r="C31" s="1"/>
      <c r="D31" s="36"/>
      <c r="E31" s="1"/>
      <c r="H31" s="1"/>
    </row>
    <row r="32" spans="1:8" ht="15" thickBot="1">
      <c r="A32" s="1" t="s">
        <v>0</v>
      </c>
      <c r="B32" s="47">
        <f>SUM(B29:B31)</f>
        <v>11421000</v>
      </c>
      <c r="C32" s="47">
        <f t="shared" ref="C32:E32" si="1">SUM(C29:C31)</f>
        <v>11421000</v>
      </c>
      <c r="D32" s="72">
        <f t="shared" si="1"/>
        <v>11421000</v>
      </c>
      <c r="E32" s="47">
        <f t="shared" si="1"/>
        <v>11421000</v>
      </c>
      <c r="H32" s="1"/>
    </row>
    <row r="33" spans="1:8" ht="15" thickTop="1">
      <c r="A33" s="1"/>
      <c r="B33" s="1"/>
      <c r="C33" s="1"/>
      <c r="D33" s="1"/>
      <c r="E33" s="1"/>
      <c r="H33" s="1"/>
    </row>
    <row r="34" spans="1:8">
      <c r="D34" s="45" t="s">
        <v>73</v>
      </c>
      <c r="E34" s="45" t="s">
        <v>74</v>
      </c>
      <c r="H34" s="1"/>
    </row>
    <row r="35" spans="1:8">
      <c r="A35" s="1" t="s">
        <v>1</v>
      </c>
      <c r="B35" s="1"/>
      <c r="C35" s="1"/>
      <c r="D35" s="1">
        <f>D29-B29</f>
        <v>543000</v>
      </c>
      <c r="E35" s="26">
        <f>D35/D37*100</f>
        <v>15.083333333333334</v>
      </c>
      <c r="H35" s="1"/>
    </row>
    <row r="36" spans="1:8">
      <c r="A36" s="1" t="s">
        <v>2</v>
      </c>
      <c r="B36" s="1"/>
      <c r="C36" s="1"/>
      <c r="D36" s="1">
        <f>D30-B30</f>
        <v>3057000</v>
      </c>
      <c r="E36" s="26">
        <f>D36/D37*100</f>
        <v>84.916666666666657</v>
      </c>
    </row>
    <row r="37" spans="1:8" ht="15" thickBot="1">
      <c r="A37" s="1"/>
      <c r="B37" s="1"/>
      <c r="C37" s="1"/>
      <c r="D37" s="47">
        <f>SUM(D35:D36)</f>
        <v>3600000</v>
      </c>
      <c r="E37" s="73">
        <f>SUM(E35:E36)</f>
        <v>99.999999999999986</v>
      </c>
    </row>
    <row r="38" spans="1:8" ht="15" thickTop="1"/>
  </sheetData>
  <mergeCells count="2">
    <mergeCell ref="A25:E25"/>
    <mergeCell ref="A2:E2"/>
  </mergeCells>
  <phoneticPr fontId="10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J56"/>
  <sheetViews>
    <sheetView workbookViewId="0">
      <selection activeCell="F12" sqref="F12"/>
    </sheetView>
  </sheetViews>
  <sheetFormatPr baseColWidth="10" defaultColWidth="8.83203125" defaultRowHeight="14"/>
  <cols>
    <col min="1" max="1" width="27.5" customWidth="1"/>
    <col min="2" max="2" width="25" customWidth="1"/>
    <col min="3" max="3" width="14.1640625" customWidth="1"/>
    <col min="4" max="4" width="14.6640625" customWidth="1"/>
    <col min="5" max="5" width="12.5" bestFit="1" customWidth="1"/>
    <col min="6" max="6" width="10.5" bestFit="1" customWidth="1"/>
  </cols>
  <sheetData>
    <row r="1" spans="1:10">
      <c r="E1" t="s">
        <v>319</v>
      </c>
    </row>
    <row r="2" spans="1:10">
      <c r="A2" t="s">
        <v>155</v>
      </c>
      <c r="B2" t="s">
        <v>154</v>
      </c>
    </row>
    <row r="3" spans="1:10">
      <c r="A3" t="s">
        <v>293</v>
      </c>
      <c r="B3" t="s">
        <v>163</v>
      </c>
      <c r="D3" s="1">
        <f>8000*20000*1.2</f>
        <v>192000000</v>
      </c>
      <c r="E3" s="1"/>
      <c r="F3" s="1"/>
      <c r="G3" s="1"/>
      <c r="H3" s="1"/>
      <c r="I3" s="1"/>
      <c r="J3" s="1"/>
    </row>
    <row r="4" spans="1:10">
      <c r="A4" t="s">
        <v>292</v>
      </c>
      <c r="B4" t="s">
        <v>157</v>
      </c>
      <c r="D4" s="1">
        <v>60000000</v>
      </c>
      <c r="E4" s="1"/>
      <c r="F4" s="1"/>
      <c r="G4" s="1"/>
      <c r="H4" s="1"/>
      <c r="I4" s="1"/>
      <c r="J4" s="1"/>
    </row>
    <row r="5" spans="1:10">
      <c r="A5" t="s">
        <v>102</v>
      </c>
      <c r="B5" t="s">
        <v>158</v>
      </c>
      <c r="D5" s="1">
        <v>12000000</v>
      </c>
      <c r="E5" s="1"/>
      <c r="F5" s="1"/>
      <c r="G5" s="1"/>
      <c r="H5" s="1"/>
      <c r="I5" s="1"/>
      <c r="J5" s="1"/>
    </row>
    <row r="6" spans="1:10">
      <c r="A6" t="s">
        <v>192</v>
      </c>
      <c r="B6" t="s">
        <v>156</v>
      </c>
      <c r="D6" s="1">
        <f>9000*3500</f>
        <v>31500000</v>
      </c>
      <c r="E6" s="1"/>
      <c r="F6" s="1"/>
      <c r="G6" s="1"/>
      <c r="H6" s="1"/>
      <c r="I6" s="1"/>
      <c r="J6" s="1"/>
    </row>
    <row r="7" spans="1:10">
      <c r="A7" t="s">
        <v>200</v>
      </c>
      <c r="B7" t="s">
        <v>164</v>
      </c>
      <c r="D7" s="1">
        <v>100000000</v>
      </c>
      <c r="E7" s="1"/>
      <c r="F7" s="1"/>
      <c r="G7" s="1"/>
      <c r="H7" s="1"/>
      <c r="I7" s="1"/>
      <c r="J7" s="1"/>
    </row>
    <row r="8" spans="1:10">
      <c r="A8" t="s">
        <v>117</v>
      </c>
      <c r="B8" t="s">
        <v>159</v>
      </c>
      <c r="D8" s="1">
        <f>15000000/2</f>
        <v>7500000</v>
      </c>
      <c r="E8" s="1"/>
      <c r="F8" s="1"/>
      <c r="G8" s="1"/>
      <c r="H8" s="1"/>
      <c r="I8" s="1"/>
      <c r="J8" s="1"/>
    </row>
    <row r="9" spans="1:10">
      <c r="A9" t="s">
        <v>320</v>
      </c>
      <c r="B9" t="s">
        <v>160</v>
      </c>
      <c r="D9" s="1">
        <f>350000000/(7*24)</f>
        <v>2083333.3333333333</v>
      </c>
      <c r="E9" s="1"/>
      <c r="F9" s="1"/>
      <c r="G9" s="1"/>
      <c r="H9" s="1"/>
      <c r="I9" s="1"/>
      <c r="J9" s="1"/>
    </row>
    <row r="10" spans="1:10">
      <c r="A10" t="s">
        <v>152</v>
      </c>
      <c r="B10" t="s">
        <v>175</v>
      </c>
      <c r="D10" s="1">
        <f>170000000/(20*24)</f>
        <v>354166.66666666669</v>
      </c>
      <c r="E10" s="1"/>
      <c r="F10" s="1">
        <f>D9+D10</f>
        <v>2437500</v>
      </c>
      <c r="G10" s="1"/>
      <c r="H10" s="1"/>
      <c r="I10" s="1"/>
      <c r="J10" s="1"/>
    </row>
    <row r="11" spans="1:10">
      <c r="A11" t="s">
        <v>153</v>
      </c>
      <c r="B11" t="s">
        <v>176</v>
      </c>
      <c r="D11" s="1">
        <f>(15000000*6)/(3*24)</f>
        <v>1250000</v>
      </c>
      <c r="E11" s="1"/>
      <c r="F11" s="1"/>
      <c r="G11" s="1"/>
      <c r="H11" s="1"/>
      <c r="I11" s="1"/>
      <c r="J11" s="1"/>
    </row>
    <row r="12" spans="1:10">
      <c r="A12" t="s">
        <v>161</v>
      </c>
      <c r="D12" s="1">
        <f>SUM(D3:D11)</f>
        <v>406687500</v>
      </c>
      <c r="E12" s="1"/>
      <c r="F12" s="1"/>
      <c r="G12" s="1"/>
      <c r="H12" s="1"/>
      <c r="I12" s="1"/>
      <c r="J12" s="1"/>
    </row>
    <row r="13" spans="1:10">
      <c r="A13" t="s">
        <v>30</v>
      </c>
      <c r="D13" s="1">
        <f>D12*0.2</f>
        <v>81337500</v>
      </c>
      <c r="E13" s="1"/>
      <c r="F13" s="1"/>
      <c r="G13" s="1"/>
      <c r="H13" s="1"/>
      <c r="I13" s="1"/>
      <c r="J13" s="1"/>
    </row>
    <row r="14" spans="1:10">
      <c r="A14" t="s">
        <v>342</v>
      </c>
      <c r="D14" s="1">
        <f>D12+D13</f>
        <v>488025000</v>
      </c>
      <c r="E14" s="1"/>
      <c r="F14" s="1"/>
      <c r="G14" s="1"/>
      <c r="H14" s="1"/>
      <c r="I14" s="1"/>
      <c r="J14" s="1"/>
    </row>
    <row r="15" spans="1:10">
      <c r="A15" s="4"/>
      <c r="B15" s="4"/>
      <c r="C15" s="4"/>
      <c r="D15" s="2"/>
      <c r="E15" s="1"/>
      <c r="F15" s="1"/>
      <c r="G15" s="1"/>
      <c r="H15" s="1"/>
      <c r="I15" s="1"/>
      <c r="J15" s="1"/>
    </row>
    <row r="16" spans="1:10">
      <c r="A16" t="s">
        <v>31</v>
      </c>
      <c r="D16" s="1">
        <v>450000000</v>
      </c>
      <c r="E16" s="1"/>
      <c r="F16" s="1"/>
      <c r="G16" s="1"/>
      <c r="H16" s="1"/>
      <c r="I16" s="1"/>
      <c r="J16" s="1"/>
    </row>
    <row r="17" spans="1:10">
      <c r="F17" s="1"/>
      <c r="G17" s="1"/>
      <c r="H17" s="1"/>
      <c r="I17" s="1"/>
      <c r="J17" s="1"/>
    </row>
    <row r="18" spans="1:10">
      <c r="A18" t="s">
        <v>27</v>
      </c>
      <c r="D18" s="1">
        <f>D16-D12</f>
        <v>43312500</v>
      </c>
      <c r="E18" s="1" t="s">
        <v>213</v>
      </c>
      <c r="F18" s="1"/>
      <c r="G18" s="1"/>
      <c r="H18" s="1"/>
      <c r="I18" s="1"/>
      <c r="J18" s="1"/>
    </row>
    <row r="19" spans="1:10">
      <c r="A19" t="s">
        <v>28</v>
      </c>
      <c r="B19" t="s">
        <v>29</v>
      </c>
      <c r="D19" s="1">
        <f>D18*24</f>
        <v>1039500000</v>
      </c>
      <c r="E19" s="1"/>
      <c r="F19" s="1"/>
      <c r="G19" s="1"/>
      <c r="H19" s="1"/>
      <c r="I19" s="1"/>
      <c r="J19" s="1"/>
    </row>
    <row r="20" spans="1:10">
      <c r="D20" s="1"/>
      <c r="E20" s="1"/>
      <c r="F20" s="1"/>
      <c r="G20" s="1"/>
      <c r="H20" s="1"/>
      <c r="I20" s="1"/>
      <c r="J20" s="1"/>
    </row>
    <row r="21" spans="1:10">
      <c r="D21" s="1"/>
      <c r="E21" s="1"/>
      <c r="F21" s="1"/>
      <c r="G21" s="1"/>
      <c r="H21" s="1"/>
      <c r="I21" s="1"/>
      <c r="J21" s="1"/>
    </row>
    <row r="22" spans="1:10">
      <c r="D22" s="1"/>
      <c r="E22" s="1"/>
      <c r="F22" s="1"/>
      <c r="G22" s="1"/>
      <c r="H22" s="1"/>
      <c r="I22" s="1"/>
      <c r="J22" s="1"/>
    </row>
    <row r="23" spans="1:10">
      <c r="D23" s="1"/>
      <c r="E23" s="1"/>
      <c r="F23" s="1"/>
      <c r="G23" s="1"/>
      <c r="H23" s="1"/>
      <c r="I23" s="1"/>
      <c r="J23" s="1"/>
    </row>
    <row r="24" spans="1:10">
      <c r="D24" s="1"/>
      <c r="E24" s="1"/>
      <c r="F24" s="1"/>
      <c r="G24" s="1"/>
      <c r="H24" s="1"/>
      <c r="I24" s="1"/>
      <c r="J24" s="1"/>
    </row>
    <row r="25" spans="1:10">
      <c r="D25" s="1"/>
      <c r="E25" s="1"/>
      <c r="F25" s="1"/>
      <c r="G25" s="1"/>
      <c r="H25" s="1"/>
      <c r="I25" s="1"/>
      <c r="J25" s="1"/>
    </row>
    <row r="26" spans="1:10">
      <c r="D26" s="1"/>
      <c r="E26" s="1"/>
      <c r="F26" s="1"/>
      <c r="G26" s="1"/>
      <c r="H26" s="1"/>
      <c r="I26" s="1"/>
      <c r="J26" s="1"/>
    </row>
    <row r="27" spans="1:10">
      <c r="D27" s="1"/>
      <c r="E27" s="1"/>
      <c r="F27" s="1"/>
      <c r="G27" s="1"/>
      <c r="H27" s="1"/>
      <c r="I27" s="1"/>
      <c r="J27" s="1"/>
    </row>
    <row r="28" spans="1:10">
      <c r="D28" s="1"/>
      <c r="E28" s="1"/>
      <c r="F28" s="1"/>
      <c r="G28" s="1"/>
      <c r="H28" s="1"/>
      <c r="I28" s="1"/>
      <c r="J28" s="1"/>
    </row>
    <row r="29" spans="1:10">
      <c r="D29" s="1"/>
      <c r="E29" s="1"/>
      <c r="F29" s="1"/>
      <c r="G29" s="1"/>
      <c r="H29" s="1"/>
      <c r="I29" s="1"/>
      <c r="J29" s="1"/>
    </row>
    <row r="30" spans="1:10">
      <c r="D30" s="1"/>
      <c r="E30" s="1"/>
      <c r="F30" s="1"/>
      <c r="G30" s="1"/>
      <c r="H30" s="1"/>
      <c r="I30" s="1"/>
      <c r="J30" s="1"/>
    </row>
    <row r="31" spans="1:10">
      <c r="D31" s="1"/>
      <c r="E31" s="1"/>
      <c r="F31" s="1"/>
      <c r="G31" s="1"/>
      <c r="H31" s="1"/>
      <c r="I31" s="1"/>
      <c r="J31" s="1"/>
    </row>
    <row r="32" spans="1:10">
      <c r="D32" s="1"/>
      <c r="E32" s="1"/>
      <c r="F32" s="1"/>
      <c r="G32" s="1"/>
      <c r="H32" s="1"/>
      <c r="I32" s="1"/>
      <c r="J32" s="1"/>
    </row>
    <row r="33" spans="4:10">
      <c r="D33" s="1"/>
      <c r="E33" s="1"/>
      <c r="F33" s="1"/>
      <c r="G33" s="1"/>
      <c r="H33" s="1"/>
      <c r="I33" s="1"/>
      <c r="J33" s="1"/>
    </row>
    <row r="34" spans="4:10">
      <c r="D34" s="1"/>
      <c r="E34" s="1"/>
      <c r="F34" s="1"/>
      <c r="G34" s="1"/>
      <c r="H34" s="1"/>
      <c r="I34" s="1"/>
      <c r="J34" s="1"/>
    </row>
    <row r="35" spans="4:10">
      <c r="D35" s="1"/>
      <c r="E35" s="1"/>
      <c r="F35" s="1"/>
      <c r="G35" s="1"/>
      <c r="H35" s="1"/>
      <c r="I35" s="1"/>
      <c r="J35" s="1"/>
    </row>
    <row r="36" spans="4:10">
      <c r="D36" s="1"/>
      <c r="E36" s="1"/>
      <c r="F36" s="1"/>
      <c r="G36" s="1"/>
      <c r="H36" s="1"/>
      <c r="I36" s="1"/>
      <c r="J36" s="1"/>
    </row>
    <row r="37" spans="4:10">
      <c r="D37" s="1"/>
      <c r="E37" s="1"/>
      <c r="F37" s="1"/>
      <c r="G37" s="1"/>
      <c r="H37" s="1"/>
      <c r="I37" s="1"/>
      <c r="J37" s="1"/>
    </row>
    <row r="38" spans="4:10">
      <c r="D38" s="1"/>
      <c r="E38" s="1"/>
      <c r="F38" s="1"/>
      <c r="G38" s="1"/>
      <c r="H38" s="1"/>
      <c r="I38" s="1"/>
      <c r="J38" s="1"/>
    </row>
    <row r="39" spans="4:10">
      <c r="D39" s="1"/>
      <c r="E39" s="1"/>
      <c r="F39" s="1"/>
      <c r="G39" s="1"/>
      <c r="H39" s="1"/>
      <c r="I39" s="1"/>
      <c r="J39" s="1"/>
    </row>
    <row r="40" spans="4:10">
      <c r="D40" s="1"/>
      <c r="E40" s="1"/>
      <c r="F40" s="1"/>
      <c r="G40" s="1"/>
      <c r="H40" s="1"/>
      <c r="I40" s="1"/>
      <c r="J40" s="1"/>
    </row>
    <row r="41" spans="4:10">
      <c r="D41" s="1"/>
      <c r="E41" s="1"/>
      <c r="F41" s="1"/>
      <c r="G41" s="1"/>
      <c r="H41" s="1"/>
      <c r="I41" s="1"/>
      <c r="J41" s="1"/>
    </row>
    <row r="42" spans="4:10">
      <c r="D42" s="1"/>
      <c r="E42" s="1"/>
      <c r="F42" s="1"/>
      <c r="G42" s="1"/>
      <c r="H42" s="1"/>
      <c r="I42" s="1"/>
      <c r="J42" s="1"/>
    </row>
    <row r="43" spans="4:10">
      <c r="D43" s="1"/>
      <c r="E43" s="1"/>
      <c r="F43" s="1"/>
      <c r="G43" s="1"/>
      <c r="H43" s="1"/>
      <c r="I43" s="1"/>
      <c r="J43" s="1"/>
    </row>
    <row r="44" spans="4:10">
      <c r="D44" s="1"/>
      <c r="E44" s="1"/>
      <c r="F44" s="1"/>
      <c r="G44" s="1"/>
      <c r="H44" s="1"/>
      <c r="I44" s="1"/>
      <c r="J44" s="1"/>
    </row>
    <row r="45" spans="4:10">
      <c r="D45" s="1"/>
      <c r="E45" s="1"/>
      <c r="F45" s="1"/>
      <c r="G45" s="1"/>
      <c r="H45" s="1"/>
      <c r="I45" s="1"/>
      <c r="J45" s="1"/>
    </row>
    <row r="46" spans="4:10">
      <c r="D46" s="1"/>
      <c r="E46" s="1"/>
      <c r="F46" s="1"/>
      <c r="G46" s="1"/>
      <c r="H46" s="1"/>
      <c r="I46" s="1"/>
      <c r="J46" s="1"/>
    </row>
    <row r="47" spans="4:10">
      <c r="D47" s="1"/>
      <c r="E47" s="1"/>
      <c r="F47" s="1"/>
      <c r="G47" s="1"/>
      <c r="H47" s="1"/>
      <c r="I47" s="1"/>
      <c r="J47" s="1"/>
    </row>
    <row r="48" spans="4:10">
      <c r="D48" s="1"/>
      <c r="E48" s="1"/>
      <c r="F48" s="1"/>
      <c r="G48" s="1"/>
      <c r="H48" s="1"/>
      <c r="I48" s="1"/>
      <c r="J48" s="1"/>
    </row>
    <row r="49" spans="4:10">
      <c r="D49" s="1"/>
      <c r="E49" s="1"/>
      <c r="F49" s="1"/>
      <c r="G49" s="1"/>
      <c r="H49" s="1"/>
      <c r="I49" s="1"/>
      <c r="J49" s="1"/>
    </row>
    <row r="50" spans="4:10">
      <c r="D50" s="1"/>
      <c r="E50" s="1"/>
      <c r="F50" s="1"/>
      <c r="G50" s="1"/>
      <c r="H50" s="1"/>
      <c r="I50" s="1"/>
      <c r="J50" s="1"/>
    </row>
    <row r="51" spans="4:10">
      <c r="D51" s="1"/>
      <c r="E51" s="1"/>
      <c r="F51" s="1"/>
      <c r="G51" s="1"/>
      <c r="H51" s="1"/>
      <c r="I51" s="1"/>
      <c r="J51" s="1"/>
    </row>
    <row r="52" spans="4:10">
      <c r="D52" s="1"/>
      <c r="E52" s="1"/>
      <c r="F52" s="1"/>
      <c r="G52" s="1"/>
      <c r="H52" s="1"/>
      <c r="I52" s="1"/>
      <c r="J52" s="1"/>
    </row>
    <row r="53" spans="4:10">
      <c r="D53" s="1"/>
      <c r="E53" s="1"/>
      <c r="F53" s="1"/>
      <c r="G53" s="1"/>
      <c r="H53" s="1"/>
      <c r="I53" s="1"/>
      <c r="J53" s="1"/>
    </row>
    <row r="54" spans="4:10">
      <c r="D54" s="1"/>
      <c r="E54" s="1"/>
      <c r="F54" s="1"/>
      <c r="G54" s="1"/>
      <c r="H54" s="1"/>
      <c r="I54" s="1"/>
      <c r="J54" s="1"/>
    </row>
    <row r="55" spans="4:10">
      <c r="D55" s="1"/>
      <c r="E55" s="1"/>
      <c r="F55" s="1"/>
      <c r="G55" s="1"/>
      <c r="H55" s="1"/>
      <c r="I55" s="1"/>
      <c r="J55" s="1"/>
    </row>
    <row r="56" spans="4:10">
      <c r="D56" s="1"/>
      <c r="E56" s="1"/>
      <c r="F56" s="1"/>
      <c r="G56" s="1"/>
      <c r="H56" s="1"/>
      <c r="I56" s="1"/>
      <c r="J56" s="1"/>
    </row>
  </sheetData>
  <phoneticPr fontId="10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30"/>
  <sheetViews>
    <sheetView tabSelected="1" workbookViewId="0">
      <selection activeCell="B7" sqref="B7"/>
    </sheetView>
  </sheetViews>
  <sheetFormatPr baseColWidth="10" defaultColWidth="8.83203125" defaultRowHeight="14"/>
  <cols>
    <col min="1" max="1" width="34.1640625" bestFit="1" customWidth="1"/>
    <col min="2" max="2" width="28.1640625" bestFit="1" customWidth="1"/>
    <col min="3" max="3" width="6.5" bestFit="1" customWidth="1"/>
    <col min="4" max="4" width="1" customWidth="1"/>
    <col min="5" max="5" width="12" customWidth="1"/>
    <col min="6" max="6" width="11.83203125" customWidth="1"/>
    <col min="7" max="7" width="12.1640625" customWidth="1"/>
    <col min="8" max="9" width="10.5" customWidth="1"/>
    <col min="10" max="10" width="12.1640625" customWidth="1"/>
    <col min="11" max="11" width="11.83203125" customWidth="1"/>
    <col min="12" max="12" width="11.33203125" customWidth="1"/>
    <col min="13" max="13" width="9.83203125" customWidth="1"/>
    <col min="14" max="14" width="9.6640625" customWidth="1"/>
    <col min="15" max="15" width="10.5" customWidth="1"/>
    <col min="16" max="16" width="10.1640625" customWidth="1"/>
    <col min="17" max="17" width="12.5" customWidth="1"/>
  </cols>
  <sheetData>
    <row r="1" spans="1:21">
      <c r="A1" t="s">
        <v>304</v>
      </c>
      <c r="E1" s="123" t="s">
        <v>76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3" spans="1:21" s="45" customFormat="1">
      <c r="A3" s="45" t="s">
        <v>173</v>
      </c>
      <c r="B3" s="45" t="s">
        <v>174</v>
      </c>
      <c r="E3" s="45" t="s">
        <v>305</v>
      </c>
      <c r="F3" s="45" t="s">
        <v>306</v>
      </c>
      <c r="G3" s="45" t="s">
        <v>307</v>
      </c>
      <c r="H3" s="45" t="s">
        <v>308</v>
      </c>
      <c r="I3" s="45" t="s">
        <v>309</v>
      </c>
      <c r="J3" s="45" t="s">
        <v>310</v>
      </c>
      <c r="K3" s="45" t="s">
        <v>311</v>
      </c>
      <c r="L3" s="45" t="s">
        <v>312</v>
      </c>
      <c r="M3" s="45" t="s">
        <v>313</v>
      </c>
      <c r="N3" s="45" t="s">
        <v>314</v>
      </c>
      <c r="O3" s="45" t="s">
        <v>315</v>
      </c>
      <c r="P3" s="45" t="s">
        <v>316</v>
      </c>
      <c r="Q3" s="45" t="s">
        <v>196</v>
      </c>
    </row>
    <row r="4" spans="1:21">
      <c r="A4" t="s">
        <v>317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f>SUM(E4:P4)</f>
        <v>24</v>
      </c>
      <c r="R4" s="1"/>
      <c r="S4" s="1"/>
      <c r="T4" s="1"/>
    </row>
    <row r="5" spans="1:21">
      <c r="A5" t="s">
        <v>318</v>
      </c>
      <c r="E5" s="1"/>
      <c r="F5" s="1">
        <v>4</v>
      </c>
      <c r="G5" s="1"/>
      <c r="H5" s="1">
        <v>4</v>
      </c>
      <c r="I5" s="1"/>
      <c r="J5" s="1">
        <v>4</v>
      </c>
      <c r="K5" s="1"/>
      <c r="L5" s="1">
        <v>4</v>
      </c>
      <c r="M5" s="1"/>
      <c r="N5" s="1">
        <v>4</v>
      </c>
      <c r="O5" s="1"/>
      <c r="P5" s="1">
        <v>4</v>
      </c>
      <c r="Q5" s="1">
        <f>SUM(E5:P5)</f>
        <v>24</v>
      </c>
      <c r="R5" s="1"/>
      <c r="S5" s="1"/>
      <c r="T5" s="1"/>
    </row>
    <row r="6" spans="1:21">
      <c r="A6" t="s">
        <v>165</v>
      </c>
      <c r="B6" s="20">
        <v>450000</v>
      </c>
      <c r="E6" s="1">
        <f>$B$6</f>
        <v>450000</v>
      </c>
      <c r="F6" s="1">
        <f t="shared" ref="F6:P6" si="0">$B$6</f>
        <v>450000</v>
      </c>
      <c r="G6" s="1">
        <f t="shared" si="0"/>
        <v>450000</v>
      </c>
      <c r="H6" s="1">
        <f t="shared" si="0"/>
        <v>450000</v>
      </c>
      <c r="I6" s="1">
        <f t="shared" si="0"/>
        <v>450000</v>
      </c>
      <c r="J6" s="1">
        <f t="shared" si="0"/>
        <v>450000</v>
      </c>
      <c r="K6" s="1">
        <f t="shared" si="0"/>
        <v>450000</v>
      </c>
      <c r="L6" s="1">
        <f t="shared" si="0"/>
        <v>450000</v>
      </c>
      <c r="M6" s="1">
        <f t="shared" si="0"/>
        <v>450000</v>
      </c>
      <c r="N6" s="1">
        <f t="shared" si="0"/>
        <v>450000</v>
      </c>
      <c r="O6" s="1">
        <f t="shared" si="0"/>
        <v>450000</v>
      </c>
      <c r="P6" s="1">
        <f t="shared" si="0"/>
        <v>450000</v>
      </c>
      <c r="Q6" s="1">
        <f t="shared" ref="Q6:Q19" si="1">SUM(E6:P6)</f>
        <v>5400000</v>
      </c>
      <c r="R6" s="1"/>
      <c r="S6" s="1"/>
      <c r="T6" s="1"/>
    </row>
    <row r="7" spans="1:21">
      <c r="A7" s="4" t="s">
        <v>197</v>
      </c>
      <c r="B7" s="4"/>
      <c r="C7" s="4"/>
      <c r="D7" s="4"/>
      <c r="E7" s="68">
        <f>E4*E6</f>
        <v>900000</v>
      </c>
      <c r="F7" s="68">
        <f t="shared" ref="F7:P7" si="2">F4*F6</f>
        <v>900000</v>
      </c>
      <c r="G7" s="68">
        <f t="shared" si="2"/>
        <v>900000</v>
      </c>
      <c r="H7" s="68">
        <f t="shared" si="2"/>
        <v>900000</v>
      </c>
      <c r="I7" s="68">
        <f t="shared" si="2"/>
        <v>900000</v>
      </c>
      <c r="J7" s="68">
        <f t="shared" si="2"/>
        <v>900000</v>
      </c>
      <c r="K7" s="68">
        <f t="shared" si="2"/>
        <v>900000</v>
      </c>
      <c r="L7" s="68">
        <f t="shared" si="2"/>
        <v>900000</v>
      </c>
      <c r="M7" s="68">
        <f t="shared" si="2"/>
        <v>900000</v>
      </c>
      <c r="N7" s="68">
        <f t="shared" si="2"/>
        <v>900000</v>
      </c>
      <c r="O7" s="68">
        <f t="shared" si="2"/>
        <v>900000</v>
      </c>
      <c r="P7" s="68">
        <f t="shared" si="2"/>
        <v>900000</v>
      </c>
      <c r="Q7" s="68">
        <f t="shared" si="1"/>
        <v>10800000</v>
      </c>
      <c r="R7" s="1"/>
      <c r="S7" s="1"/>
      <c r="T7" s="1"/>
    </row>
    <row r="8" spans="1:21"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si="1"/>
        <v>0</v>
      </c>
      <c r="R8" s="1"/>
      <c r="S8" s="1"/>
      <c r="T8" s="1"/>
    </row>
    <row r="9" spans="1:21">
      <c r="A9" t="s">
        <v>167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1"/>
        <v>0</v>
      </c>
      <c r="R9" s="1"/>
      <c r="S9" s="1"/>
      <c r="T9" s="1"/>
    </row>
    <row r="10" spans="1:21">
      <c r="A10" t="s">
        <v>99</v>
      </c>
      <c r="B10" t="s">
        <v>172</v>
      </c>
      <c r="E10" s="1">
        <f>'Unit cost and price'!D3*2/1000</f>
        <v>384000</v>
      </c>
      <c r="F10" s="1">
        <f>E10</f>
        <v>384000</v>
      </c>
      <c r="G10" s="1">
        <f t="shared" ref="G10:P10" si="3">F10</f>
        <v>384000</v>
      </c>
      <c r="H10" s="1">
        <f t="shared" si="3"/>
        <v>384000</v>
      </c>
      <c r="I10" s="1">
        <f t="shared" si="3"/>
        <v>384000</v>
      </c>
      <c r="J10" s="1">
        <f t="shared" si="3"/>
        <v>384000</v>
      </c>
      <c r="K10" s="1">
        <f t="shared" si="3"/>
        <v>384000</v>
      </c>
      <c r="L10" s="1">
        <f t="shared" si="3"/>
        <v>384000</v>
      </c>
      <c r="M10" s="1">
        <f t="shared" si="3"/>
        <v>384000</v>
      </c>
      <c r="N10" s="1">
        <f t="shared" si="3"/>
        <v>384000</v>
      </c>
      <c r="O10" s="1">
        <f t="shared" si="3"/>
        <v>384000</v>
      </c>
      <c r="P10" s="1">
        <f t="shared" si="3"/>
        <v>384000</v>
      </c>
      <c r="Q10" s="1">
        <f t="shared" si="1"/>
        <v>4608000</v>
      </c>
      <c r="R10" s="1"/>
      <c r="S10" s="1"/>
      <c r="T10" s="1"/>
    </row>
    <row r="11" spans="1:21">
      <c r="A11" t="s">
        <v>292</v>
      </c>
      <c r="B11" t="s">
        <v>157</v>
      </c>
      <c r="E11" s="1">
        <f>'Unit cost and price'!D4*2/1000</f>
        <v>120000</v>
      </c>
      <c r="F11" s="1">
        <f t="shared" ref="F11:P17" si="4">E11</f>
        <v>120000</v>
      </c>
      <c r="G11" s="1">
        <f t="shared" si="4"/>
        <v>120000</v>
      </c>
      <c r="H11" s="1">
        <f t="shared" si="4"/>
        <v>120000</v>
      </c>
      <c r="I11" s="1">
        <f t="shared" si="4"/>
        <v>120000</v>
      </c>
      <c r="J11" s="1">
        <f t="shared" si="4"/>
        <v>120000</v>
      </c>
      <c r="K11" s="1">
        <f t="shared" si="4"/>
        <v>120000</v>
      </c>
      <c r="L11" s="1">
        <f t="shared" si="4"/>
        <v>120000</v>
      </c>
      <c r="M11" s="1">
        <f t="shared" si="4"/>
        <v>120000</v>
      </c>
      <c r="N11" s="1">
        <f t="shared" si="4"/>
        <v>120000</v>
      </c>
      <c r="O11" s="1">
        <f t="shared" si="4"/>
        <v>120000</v>
      </c>
      <c r="P11" s="1">
        <f t="shared" si="4"/>
        <v>120000</v>
      </c>
      <c r="Q11" s="1">
        <f t="shared" si="1"/>
        <v>1440000</v>
      </c>
      <c r="R11" s="1"/>
      <c r="S11" s="1"/>
      <c r="T11" s="1"/>
    </row>
    <row r="12" spans="1:21">
      <c r="A12" t="s">
        <v>102</v>
      </c>
      <c r="B12" t="s">
        <v>158</v>
      </c>
      <c r="E12" s="26">
        <f>'Unit cost and price'!D5*2/1000</f>
        <v>24000</v>
      </c>
      <c r="F12" s="1">
        <f t="shared" si="4"/>
        <v>24000</v>
      </c>
      <c r="G12" s="1">
        <f>F12</f>
        <v>24000</v>
      </c>
      <c r="H12" s="1">
        <f t="shared" si="4"/>
        <v>24000</v>
      </c>
      <c r="I12" s="1">
        <f t="shared" si="4"/>
        <v>24000</v>
      </c>
      <c r="J12" s="1">
        <f t="shared" si="4"/>
        <v>24000</v>
      </c>
      <c r="K12" s="1">
        <f t="shared" si="4"/>
        <v>24000</v>
      </c>
      <c r="L12" s="1">
        <f t="shared" si="4"/>
        <v>24000</v>
      </c>
      <c r="M12" s="1">
        <f t="shared" si="4"/>
        <v>24000</v>
      </c>
      <c r="N12" s="1">
        <f t="shared" si="4"/>
        <v>24000</v>
      </c>
      <c r="O12" s="1">
        <f t="shared" si="4"/>
        <v>24000</v>
      </c>
      <c r="P12" s="1">
        <f t="shared" si="4"/>
        <v>24000</v>
      </c>
      <c r="Q12" s="1">
        <f>SUM(E12:P12)</f>
        <v>288000</v>
      </c>
      <c r="R12" s="1"/>
      <c r="S12" s="1"/>
      <c r="T12" s="1"/>
      <c r="U12" s="1"/>
    </row>
    <row r="13" spans="1:21">
      <c r="A13" t="s">
        <v>192</v>
      </c>
      <c r="B13" t="s">
        <v>156</v>
      </c>
      <c r="E13" s="1">
        <f>'Unit cost and price'!D6*2/1000</f>
        <v>63000</v>
      </c>
      <c r="F13" s="1">
        <f t="shared" si="4"/>
        <v>63000</v>
      </c>
      <c r="G13" s="1">
        <f t="shared" si="4"/>
        <v>63000</v>
      </c>
      <c r="H13" s="1">
        <f t="shared" si="4"/>
        <v>63000</v>
      </c>
      <c r="I13" s="1">
        <f t="shared" si="4"/>
        <v>63000</v>
      </c>
      <c r="J13" s="1">
        <f t="shared" si="4"/>
        <v>63000</v>
      </c>
      <c r="K13" s="1">
        <f t="shared" si="4"/>
        <v>63000</v>
      </c>
      <c r="L13" s="1">
        <f t="shared" si="4"/>
        <v>63000</v>
      </c>
      <c r="M13" s="1">
        <f t="shared" si="4"/>
        <v>63000</v>
      </c>
      <c r="N13" s="1">
        <f t="shared" si="4"/>
        <v>63000</v>
      </c>
      <c r="O13" s="1">
        <f t="shared" si="4"/>
        <v>63000</v>
      </c>
      <c r="P13" s="1">
        <f t="shared" si="4"/>
        <v>63000</v>
      </c>
      <c r="Q13" s="1">
        <f t="shared" si="1"/>
        <v>756000</v>
      </c>
      <c r="R13" s="1"/>
      <c r="S13" s="1"/>
      <c r="T13" s="1"/>
    </row>
    <row r="14" spans="1:21">
      <c r="A14" t="s">
        <v>200</v>
      </c>
      <c r="B14" t="s">
        <v>164</v>
      </c>
      <c r="E14" s="1">
        <f>'Unit cost and price'!D7*2/1000</f>
        <v>200000</v>
      </c>
      <c r="F14" s="1">
        <f t="shared" si="4"/>
        <v>200000</v>
      </c>
      <c r="G14" s="1">
        <f t="shared" si="4"/>
        <v>200000</v>
      </c>
      <c r="H14" s="1">
        <f t="shared" si="4"/>
        <v>200000</v>
      </c>
      <c r="I14" s="1">
        <f t="shared" si="4"/>
        <v>200000</v>
      </c>
      <c r="J14" s="1">
        <f t="shared" si="4"/>
        <v>200000</v>
      </c>
      <c r="K14" s="1">
        <f t="shared" si="4"/>
        <v>200000</v>
      </c>
      <c r="L14" s="1">
        <f t="shared" si="4"/>
        <v>200000</v>
      </c>
      <c r="M14" s="1">
        <f t="shared" si="4"/>
        <v>200000</v>
      </c>
      <c r="N14" s="1">
        <f t="shared" si="4"/>
        <v>200000</v>
      </c>
      <c r="O14" s="1">
        <f t="shared" si="4"/>
        <v>200000</v>
      </c>
      <c r="P14" s="1">
        <f t="shared" si="4"/>
        <v>200000</v>
      </c>
      <c r="Q14" s="1">
        <f t="shared" si="1"/>
        <v>2400000</v>
      </c>
      <c r="R14" s="1"/>
      <c r="S14" s="1"/>
      <c r="T14" s="1"/>
    </row>
    <row r="15" spans="1:21">
      <c r="A15" t="s">
        <v>117</v>
      </c>
      <c r="B15" t="s">
        <v>159</v>
      </c>
      <c r="E15" s="1">
        <f>'Unit cost and price'!D8*2/1000</f>
        <v>15000</v>
      </c>
      <c r="F15" s="1">
        <f t="shared" si="4"/>
        <v>15000</v>
      </c>
      <c r="G15" s="1">
        <f t="shared" si="4"/>
        <v>15000</v>
      </c>
      <c r="H15" s="1">
        <f t="shared" si="4"/>
        <v>15000</v>
      </c>
      <c r="I15" s="1">
        <f t="shared" si="4"/>
        <v>15000</v>
      </c>
      <c r="J15" s="1">
        <f t="shared" si="4"/>
        <v>15000</v>
      </c>
      <c r="K15" s="1">
        <f t="shared" si="4"/>
        <v>15000</v>
      </c>
      <c r="L15" s="1">
        <f t="shared" si="4"/>
        <v>15000</v>
      </c>
      <c r="M15" s="1">
        <f t="shared" si="4"/>
        <v>15000</v>
      </c>
      <c r="N15" s="1">
        <f t="shared" si="4"/>
        <v>15000</v>
      </c>
      <c r="O15" s="1">
        <f t="shared" si="4"/>
        <v>15000</v>
      </c>
      <c r="P15" s="1">
        <f t="shared" si="4"/>
        <v>15000</v>
      </c>
      <c r="Q15" s="1">
        <f t="shared" si="1"/>
        <v>180000</v>
      </c>
      <c r="R15" s="1"/>
      <c r="S15" s="1"/>
      <c r="T15" s="1"/>
    </row>
    <row r="16" spans="1:21">
      <c r="A16" t="s">
        <v>168</v>
      </c>
      <c r="B16" t="s">
        <v>170</v>
      </c>
      <c r="E16" s="26">
        <f>('Unit cost and price'!D9+'Unit cost and price'!D10)*2/1000</f>
        <v>4875</v>
      </c>
      <c r="F16" s="1">
        <f t="shared" si="4"/>
        <v>4875</v>
      </c>
      <c r="G16" s="1">
        <f t="shared" si="4"/>
        <v>4875</v>
      </c>
      <c r="H16" s="1">
        <f t="shared" si="4"/>
        <v>4875</v>
      </c>
      <c r="I16" s="1">
        <f t="shared" si="4"/>
        <v>4875</v>
      </c>
      <c r="J16" s="1">
        <f t="shared" si="4"/>
        <v>4875</v>
      </c>
      <c r="K16" s="1">
        <f t="shared" si="4"/>
        <v>4875</v>
      </c>
      <c r="L16" s="1">
        <f t="shared" si="4"/>
        <v>4875</v>
      </c>
      <c r="M16" s="1">
        <f t="shared" si="4"/>
        <v>4875</v>
      </c>
      <c r="N16" s="1">
        <f t="shared" si="4"/>
        <v>4875</v>
      </c>
      <c r="O16" s="1">
        <f t="shared" si="4"/>
        <v>4875</v>
      </c>
      <c r="P16" s="1">
        <f t="shared" si="4"/>
        <v>4875</v>
      </c>
      <c r="Q16" s="1">
        <f t="shared" si="1"/>
        <v>58500</v>
      </c>
      <c r="R16" s="1"/>
      <c r="S16" s="1"/>
      <c r="T16" s="1"/>
    </row>
    <row r="17" spans="1:20">
      <c r="A17" t="s">
        <v>169</v>
      </c>
      <c r="B17" t="s">
        <v>32</v>
      </c>
      <c r="E17" s="1">
        <f>'Unit cost and price'!D11*2/1000</f>
        <v>2500</v>
      </c>
      <c r="F17" s="1">
        <f t="shared" si="4"/>
        <v>2500</v>
      </c>
      <c r="G17" s="1">
        <f t="shared" si="4"/>
        <v>2500</v>
      </c>
      <c r="H17" s="1">
        <f t="shared" si="4"/>
        <v>2500</v>
      </c>
      <c r="I17" s="1">
        <f t="shared" si="4"/>
        <v>2500</v>
      </c>
      <c r="J17" s="1">
        <f t="shared" si="4"/>
        <v>2500</v>
      </c>
      <c r="K17" s="1">
        <f t="shared" si="4"/>
        <v>2500</v>
      </c>
      <c r="L17" s="1">
        <f t="shared" si="4"/>
        <v>2500</v>
      </c>
      <c r="M17" s="1">
        <f t="shared" si="4"/>
        <v>2500</v>
      </c>
      <c r="N17" s="1">
        <f t="shared" si="4"/>
        <v>2500</v>
      </c>
      <c r="O17" s="1">
        <f t="shared" si="4"/>
        <v>2500</v>
      </c>
      <c r="P17" s="1">
        <f t="shared" si="4"/>
        <v>2500</v>
      </c>
      <c r="Q17" s="1">
        <f t="shared" si="1"/>
        <v>30000</v>
      </c>
      <c r="R17" s="1"/>
      <c r="S17" s="1"/>
      <c r="T17" s="1"/>
    </row>
    <row r="18" spans="1:20">
      <c r="A18" t="s">
        <v>177</v>
      </c>
      <c r="E18" s="26">
        <f>Interest!$H$5</f>
        <v>10900</v>
      </c>
      <c r="F18" s="26">
        <f>Interest!$H$5</f>
        <v>10900</v>
      </c>
      <c r="G18" s="26">
        <f>Interest!$H$5</f>
        <v>10900</v>
      </c>
      <c r="H18" s="26">
        <f>Interest!$H$5</f>
        <v>10900</v>
      </c>
      <c r="I18" s="26">
        <f>Interest!$H$5</f>
        <v>10900</v>
      </c>
      <c r="J18" s="26">
        <f>Interest!$H$5</f>
        <v>10900</v>
      </c>
      <c r="K18" s="26">
        <f>Interest!$H$5</f>
        <v>10900</v>
      </c>
      <c r="L18" s="26">
        <f>Interest!$H$5</f>
        <v>10900</v>
      </c>
      <c r="M18" s="26">
        <f>Interest!$H$5</f>
        <v>10900</v>
      </c>
      <c r="N18" s="26">
        <f>Interest!$H$5</f>
        <v>10900</v>
      </c>
      <c r="O18" s="26">
        <f>Interest!$H$5</f>
        <v>10900</v>
      </c>
      <c r="P18" s="26">
        <f>Interest!$H$5</f>
        <v>10900</v>
      </c>
      <c r="Q18" s="26">
        <f t="shared" si="1"/>
        <v>130800</v>
      </c>
      <c r="R18" s="1"/>
      <c r="S18" s="1"/>
      <c r="T18" s="1"/>
    </row>
    <row r="19" spans="1:20">
      <c r="A19" s="4" t="s">
        <v>330</v>
      </c>
      <c r="B19" s="4"/>
      <c r="C19" s="4"/>
      <c r="D19" s="4"/>
      <c r="E19" s="68">
        <f t="shared" ref="E19:P19" si="5">SUM(E10:E18)</f>
        <v>824275</v>
      </c>
      <c r="F19" s="68">
        <f t="shared" si="5"/>
        <v>824275</v>
      </c>
      <c r="G19" s="68">
        <f t="shared" si="5"/>
        <v>824275</v>
      </c>
      <c r="H19" s="68">
        <f t="shared" si="5"/>
        <v>824275</v>
      </c>
      <c r="I19" s="68">
        <f t="shared" si="5"/>
        <v>824275</v>
      </c>
      <c r="J19" s="68">
        <f t="shared" si="5"/>
        <v>824275</v>
      </c>
      <c r="K19" s="68">
        <f t="shared" si="5"/>
        <v>824275</v>
      </c>
      <c r="L19" s="68">
        <f t="shared" si="5"/>
        <v>824275</v>
      </c>
      <c r="M19" s="68">
        <f t="shared" si="5"/>
        <v>824275</v>
      </c>
      <c r="N19" s="68">
        <f t="shared" si="5"/>
        <v>824275</v>
      </c>
      <c r="O19" s="68">
        <f t="shared" si="5"/>
        <v>824275</v>
      </c>
      <c r="P19" s="68">
        <f t="shared" si="5"/>
        <v>824275</v>
      </c>
      <c r="Q19" s="68">
        <f t="shared" si="1"/>
        <v>9891300</v>
      </c>
      <c r="R19" s="1"/>
      <c r="S19" s="1"/>
      <c r="T19" s="1"/>
    </row>
    <row r="20" spans="1:20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>
      <c r="A21" s="4" t="s">
        <v>338</v>
      </c>
      <c r="B21" s="4"/>
      <c r="C21" s="4"/>
      <c r="D21" s="4"/>
      <c r="E21" s="2">
        <f>E7-E19</f>
        <v>75725</v>
      </c>
      <c r="F21" s="2">
        <f t="shared" ref="F21:P21" si="6">F7-F19</f>
        <v>75725</v>
      </c>
      <c r="G21" s="2">
        <f t="shared" si="6"/>
        <v>75725</v>
      </c>
      <c r="H21" s="2">
        <f t="shared" si="6"/>
        <v>75725</v>
      </c>
      <c r="I21" s="2">
        <f t="shared" si="6"/>
        <v>75725</v>
      </c>
      <c r="J21" s="2">
        <f t="shared" si="6"/>
        <v>75725</v>
      </c>
      <c r="K21" s="2">
        <f t="shared" si="6"/>
        <v>75725</v>
      </c>
      <c r="L21" s="2">
        <f t="shared" si="6"/>
        <v>75725</v>
      </c>
      <c r="M21" s="2">
        <f t="shared" si="6"/>
        <v>75725</v>
      </c>
      <c r="N21" s="2">
        <f t="shared" si="6"/>
        <v>75725</v>
      </c>
      <c r="O21" s="2">
        <f t="shared" si="6"/>
        <v>75725</v>
      </c>
      <c r="P21" s="2">
        <f t="shared" si="6"/>
        <v>75725</v>
      </c>
      <c r="Q21" s="2">
        <f>SUM(E21:P21)</f>
        <v>908700</v>
      </c>
      <c r="R21" s="1"/>
      <c r="S21" s="1"/>
      <c r="T21" s="1"/>
    </row>
    <row r="22" spans="1:20">
      <c r="A22" t="s">
        <v>39</v>
      </c>
      <c r="E22" s="1">
        <f>E21*0.3</f>
        <v>22717.5</v>
      </c>
      <c r="F22" s="1">
        <f t="shared" ref="F22:Q22" si="7">F21*0.3</f>
        <v>22717.5</v>
      </c>
      <c r="G22" s="1">
        <f t="shared" si="7"/>
        <v>22717.5</v>
      </c>
      <c r="H22" s="1">
        <f t="shared" si="7"/>
        <v>22717.5</v>
      </c>
      <c r="I22" s="1">
        <f t="shared" si="7"/>
        <v>22717.5</v>
      </c>
      <c r="J22" s="1">
        <f t="shared" si="7"/>
        <v>22717.5</v>
      </c>
      <c r="K22" s="1">
        <f t="shared" si="7"/>
        <v>22717.5</v>
      </c>
      <c r="L22" s="1">
        <f t="shared" si="7"/>
        <v>22717.5</v>
      </c>
      <c r="M22" s="1">
        <f t="shared" si="7"/>
        <v>22717.5</v>
      </c>
      <c r="N22" s="1">
        <f t="shared" si="7"/>
        <v>22717.5</v>
      </c>
      <c r="O22" s="1">
        <f t="shared" si="7"/>
        <v>22717.5</v>
      </c>
      <c r="P22" s="1">
        <f t="shared" si="7"/>
        <v>22717.5</v>
      </c>
      <c r="Q22" s="1">
        <f t="shared" si="7"/>
        <v>272610</v>
      </c>
      <c r="R22" s="1"/>
      <c r="S22" s="1"/>
      <c r="T22" s="1"/>
    </row>
    <row r="23" spans="1:20" ht="15" thickBot="1">
      <c r="A23" s="4" t="s">
        <v>208</v>
      </c>
      <c r="E23" s="49">
        <f>E21-E22</f>
        <v>53007.5</v>
      </c>
      <c r="F23" s="49">
        <f t="shared" ref="F23:Q23" si="8">F21-F22</f>
        <v>53007.5</v>
      </c>
      <c r="G23" s="49">
        <f t="shared" si="8"/>
        <v>53007.5</v>
      </c>
      <c r="H23" s="49">
        <f t="shared" si="8"/>
        <v>53007.5</v>
      </c>
      <c r="I23" s="49">
        <f t="shared" si="8"/>
        <v>53007.5</v>
      </c>
      <c r="J23" s="49">
        <f t="shared" si="8"/>
        <v>53007.5</v>
      </c>
      <c r="K23" s="49">
        <f t="shared" si="8"/>
        <v>53007.5</v>
      </c>
      <c r="L23" s="49">
        <f t="shared" si="8"/>
        <v>53007.5</v>
      </c>
      <c r="M23" s="49">
        <f t="shared" si="8"/>
        <v>53007.5</v>
      </c>
      <c r="N23" s="49">
        <f t="shared" si="8"/>
        <v>53007.5</v>
      </c>
      <c r="O23" s="49">
        <f t="shared" si="8"/>
        <v>53007.5</v>
      </c>
      <c r="P23" s="49">
        <f t="shared" si="8"/>
        <v>53007.5</v>
      </c>
      <c r="Q23" s="49">
        <f t="shared" si="8"/>
        <v>636090</v>
      </c>
      <c r="R23" s="1"/>
      <c r="S23" s="1"/>
      <c r="T23" s="1"/>
    </row>
    <row r="24" spans="1:20" ht="15" thickTop="1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>
      <c r="A25" s="4" t="s">
        <v>210</v>
      </c>
      <c r="B25" t="s">
        <v>209</v>
      </c>
      <c r="C25" s="21">
        <f>Q23*100/'Capital forecast'!E20</f>
        <v>17.669166666666666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D27" s="1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1">
    <mergeCell ref="E1:Q1"/>
  </mergeCells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T28"/>
  <sheetViews>
    <sheetView workbookViewId="0">
      <selection activeCell="N8" sqref="N8"/>
    </sheetView>
  </sheetViews>
  <sheetFormatPr baseColWidth="10" defaultColWidth="8.83203125" defaultRowHeight="14"/>
  <cols>
    <col min="1" max="1" width="34.1640625" customWidth="1"/>
    <col min="2" max="2" width="28.1640625" hidden="1" customWidth="1"/>
    <col min="3" max="3" width="6.5" hidden="1" customWidth="1"/>
    <col min="4" max="4" width="4.83203125" hidden="1" customWidth="1"/>
    <col min="5" max="5" width="12.33203125" customWidth="1"/>
    <col min="6" max="6" width="12.1640625" customWidth="1"/>
    <col min="7" max="7" width="12.6640625" customWidth="1"/>
    <col min="8" max="8" width="11.83203125" customWidth="1"/>
    <col min="9" max="9" width="12" customWidth="1"/>
    <col min="10" max="10" width="12.5" customWidth="1"/>
    <col min="11" max="11" width="12.83203125" customWidth="1"/>
    <col min="12" max="12" width="12" customWidth="1"/>
    <col min="13" max="14" width="12.6640625" customWidth="1"/>
    <col min="15" max="17" width="11.33203125" bestFit="1" customWidth="1"/>
  </cols>
  <sheetData>
    <row r="1" spans="1:20">
      <c r="E1" s="123" t="s">
        <v>76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20" s="45" customFormat="1">
      <c r="A2" s="51" t="s">
        <v>55</v>
      </c>
      <c r="E2" s="45" t="s">
        <v>52</v>
      </c>
      <c r="F2" s="45" t="s">
        <v>306</v>
      </c>
      <c r="G2" s="45" t="s">
        <v>307</v>
      </c>
      <c r="H2" s="45" t="s">
        <v>47</v>
      </c>
      <c r="I2" s="45" t="s">
        <v>309</v>
      </c>
      <c r="J2" s="45" t="s">
        <v>48</v>
      </c>
      <c r="K2" s="45" t="s">
        <v>49</v>
      </c>
      <c r="L2" s="45" t="s">
        <v>312</v>
      </c>
      <c r="M2" s="45" t="s">
        <v>50</v>
      </c>
      <c r="N2" s="45" t="s">
        <v>42</v>
      </c>
      <c r="O2" s="45" t="s">
        <v>315</v>
      </c>
      <c r="P2" s="45" t="s">
        <v>316</v>
      </c>
      <c r="Q2" s="45" t="s">
        <v>51</v>
      </c>
    </row>
    <row r="3" spans="1:20">
      <c r="A3" s="4" t="s">
        <v>338</v>
      </c>
      <c r="B3" s="4"/>
      <c r="C3" s="4"/>
      <c r="D3" s="4"/>
      <c r="E3" s="2">
        <f>'Year 1 IS Projection'!E21</f>
        <v>75725</v>
      </c>
      <c r="F3" s="2">
        <f>'Year 1 IS Projection'!F21</f>
        <v>75725</v>
      </c>
      <c r="G3" s="2">
        <f>'Year 1 IS Projection'!G21</f>
        <v>75725</v>
      </c>
      <c r="H3" s="2">
        <f>'Year 1 IS Projection'!H21</f>
        <v>75725</v>
      </c>
      <c r="I3" s="2">
        <f>'Year 1 IS Projection'!I21</f>
        <v>75725</v>
      </c>
      <c r="J3" s="2">
        <f>'Year 1 IS Projection'!J21</f>
        <v>75725</v>
      </c>
      <c r="K3" s="2">
        <f>'Year 1 IS Projection'!K21</f>
        <v>75725</v>
      </c>
      <c r="L3" s="2">
        <f>'Year 1 IS Projection'!L21</f>
        <v>75725</v>
      </c>
      <c r="M3" s="2">
        <f>'Year 1 IS Projection'!M21</f>
        <v>75725</v>
      </c>
      <c r="N3" s="2">
        <f>'Year 1 IS Projection'!N21</f>
        <v>75725</v>
      </c>
      <c r="O3" s="2">
        <f>'Year 1 IS Projection'!O21</f>
        <v>75725</v>
      </c>
      <c r="P3" s="2">
        <f>'Year 1 IS Projection'!P21</f>
        <v>75725</v>
      </c>
      <c r="Q3" s="2">
        <f>SUM(E3:P3)</f>
        <v>908700</v>
      </c>
      <c r="R3" s="1"/>
      <c r="S3" s="1"/>
      <c r="T3" s="1"/>
    </row>
    <row r="4" spans="1:20">
      <c r="A4" t="s">
        <v>39</v>
      </c>
      <c r="E4" s="1">
        <f>'Year 1 IS Projection'!E22</f>
        <v>22717.5</v>
      </c>
      <c r="F4" s="1">
        <f>'Year 1 IS Projection'!F22</f>
        <v>22717.5</v>
      </c>
      <c r="G4" s="1">
        <f>'Year 1 IS Projection'!G22</f>
        <v>22717.5</v>
      </c>
      <c r="H4" s="1">
        <f>'Year 1 IS Projection'!H22</f>
        <v>22717.5</v>
      </c>
      <c r="I4" s="1">
        <f>'Year 1 IS Projection'!I22</f>
        <v>22717.5</v>
      </c>
      <c r="J4" s="1">
        <f>'Year 1 IS Projection'!J22</f>
        <v>22717.5</v>
      </c>
      <c r="K4" s="1">
        <f>'Year 1 IS Projection'!K22</f>
        <v>22717.5</v>
      </c>
      <c r="L4" s="1">
        <f>'Year 1 IS Projection'!L22</f>
        <v>22717.5</v>
      </c>
      <c r="M4" s="1">
        <f>'Year 1 IS Projection'!M22</f>
        <v>22717.5</v>
      </c>
      <c r="N4" s="1">
        <f>'Year 1 IS Projection'!N22</f>
        <v>22717.5</v>
      </c>
      <c r="O4" s="1">
        <f>'Year 1 IS Projection'!O22</f>
        <v>22717.5</v>
      </c>
      <c r="P4" s="1">
        <f>'Year 1 IS Projection'!P22</f>
        <v>22717.5</v>
      </c>
      <c r="Q4" s="2">
        <f>SUM(E4:P4)</f>
        <v>272610</v>
      </c>
      <c r="R4" s="1"/>
      <c r="S4" s="1"/>
      <c r="T4" s="1"/>
    </row>
    <row r="5" spans="1:20" ht="15" thickBot="1">
      <c r="A5" s="4" t="s">
        <v>208</v>
      </c>
      <c r="E5" s="49">
        <f>E3-E4</f>
        <v>53007.5</v>
      </c>
      <c r="F5" s="49">
        <f t="shared" ref="F5:Q5" si="0">F3-F4</f>
        <v>53007.5</v>
      </c>
      <c r="G5" s="49">
        <f t="shared" si="0"/>
        <v>53007.5</v>
      </c>
      <c r="H5" s="49">
        <f t="shared" si="0"/>
        <v>53007.5</v>
      </c>
      <c r="I5" s="49">
        <f t="shared" si="0"/>
        <v>53007.5</v>
      </c>
      <c r="J5" s="49">
        <f t="shared" si="0"/>
        <v>53007.5</v>
      </c>
      <c r="K5" s="49">
        <f t="shared" si="0"/>
        <v>53007.5</v>
      </c>
      <c r="L5" s="49">
        <f t="shared" si="0"/>
        <v>53007.5</v>
      </c>
      <c r="M5" s="49">
        <f t="shared" si="0"/>
        <v>53007.5</v>
      </c>
      <c r="N5" s="49">
        <f t="shared" si="0"/>
        <v>53007.5</v>
      </c>
      <c r="O5" s="49">
        <f t="shared" si="0"/>
        <v>53007.5</v>
      </c>
      <c r="P5" s="49">
        <f t="shared" si="0"/>
        <v>53007.5</v>
      </c>
      <c r="Q5" s="90">
        <f t="shared" si="0"/>
        <v>636090</v>
      </c>
      <c r="R5" s="1"/>
      <c r="S5" s="1"/>
      <c r="T5" s="1"/>
    </row>
    <row r="6" spans="1:20" ht="15" thickTop="1"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idden="1">
      <c r="A7" s="4" t="s">
        <v>210</v>
      </c>
      <c r="B7" t="s">
        <v>209</v>
      </c>
      <c r="C7" s="21">
        <f>Q5*100/'Capital forecast'!E20</f>
        <v>17.669166666666666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>
      <c r="E9" s="123" t="s">
        <v>77</v>
      </c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"/>
      <c r="S9" s="1"/>
      <c r="T9" s="1"/>
    </row>
    <row r="10" spans="1:20" s="45" customFormat="1">
      <c r="A10" s="51" t="s">
        <v>56</v>
      </c>
      <c r="E10" s="45" t="s">
        <v>52</v>
      </c>
      <c r="F10" s="45" t="s">
        <v>306</v>
      </c>
      <c r="G10" s="45" t="s">
        <v>307</v>
      </c>
      <c r="H10" s="45" t="s">
        <v>47</v>
      </c>
      <c r="I10" s="45" t="s">
        <v>309</v>
      </c>
      <c r="J10" s="45" t="s">
        <v>48</v>
      </c>
      <c r="K10" s="45" t="s">
        <v>49</v>
      </c>
      <c r="L10" s="45" t="s">
        <v>312</v>
      </c>
      <c r="M10" s="45" t="s">
        <v>50</v>
      </c>
      <c r="N10" s="45" t="s">
        <v>42</v>
      </c>
      <c r="O10" s="45" t="s">
        <v>315</v>
      </c>
      <c r="P10" s="45" t="s">
        <v>316</v>
      </c>
      <c r="Q10" s="45" t="s">
        <v>51</v>
      </c>
    </row>
    <row r="11" spans="1:20">
      <c r="A11" s="4" t="s">
        <v>24</v>
      </c>
      <c r="B11" s="4"/>
      <c r="C11" s="4"/>
      <c r="D11" s="4"/>
      <c r="E11" s="2">
        <f>'Year 1 CF Projection'!E27</f>
        <v>-1945400</v>
      </c>
      <c r="F11" s="2">
        <f>'Year 1 CF Projection'!F27</f>
        <v>-835400</v>
      </c>
      <c r="G11" s="2">
        <f>'Year 1 CF Projection'!G27</f>
        <v>-835400</v>
      </c>
      <c r="H11" s="2">
        <f>'Year 1 CF Projection'!H27</f>
        <v>964600</v>
      </c>
      <c r="I11" s="2">
        <f>'Year 1 CF Projection'!I27</f>
        <v>-835400</v>
      </c>
      <c r="J11" s="2">
        <f>'Year 1 CF Projection'!J27</f>
        <v>964600</v>
      </c>
      <c r="K11" s="2">
        <f>'Year 1 CF Projection'!K27</f>
        <v>-835400</v>
      </c>
      <c r="L11" s="2">
        <f>'Year 1 CF Projection'!L27</f>
        <v>964600</v>
      </c>
      <c r="M11" s="2">
        <f>'Year 1 CF Projection'!M27</f>
        <v>-835400</v>
      </c>
      <c r="N11" s="2">
        <f>'Year 1 CF Projection'!N27</f>
        <v>964600</v>
      </c>
      <c r="O11" s="2">
        <f>'Year 1 CF Projection'!O27</f>
        <v>-835400</v>
      </c>
      <c r="P11" s="2">
        <f>'Year 1 CF Projection'!P27</f>
        <v>964600</v>
      </c>
      <c r="Q11" s="91">
        <f>SUM(E11:P11)</f>
        <v>-2134800</v>
      </c>
    </row>
    <row r="12" spans="1:20">
      <c r="A12" t="s">
        <v>25</v>
      </c>
      <c r="D12" s="27">
        <f>'BS 2006-07'!F39</f>
        <v>0</v>
      </c>
      <c r="E12" s="1">
        <f>'BS 2006-07'!F13</f>
        <v>-999000</v>
      </c>
      <c r="F12" s="1">
        <f t="shared" ref="F12:P12" si="1">E13</f>
        <v>-2944400</v>
      </c>
      <c r="G12" s="1">
        <f t="shared" si="1"/>
        <v>-3779800</v>
      </c>
      <c r="H12" s="1">
        <f t="shared" si="1"/>
        <v>-4615200</v>
      </c>
      <c r="I12" s="1">
        <f t="shared" si="1"/>
        <v>-3650600</v>
      </c>
      <c r="J12" s="1">
        <f t="shared" si="1"/>
        <v>-4486000</v>
      </c>
      <c r="K12" s="1">
        <f t="shared" si="1"/>
        <v>-3521400</v>
      </c>
      <c r="L12" s="1">
        <f t="shared" si="1"/>
        <v>-4356800</v>
      </c>
      <c r="M12" s="1">
        <f t="shared" si="1"/>
        <v>-3392200</v>
      </c>
      <c r="N12" s="1">
        <f t="shared" si="1"/>
        <v>-4227600</v>
      </c>
      <c r="O12" s="1">
        <f t="shared" si="1"/>
        <v>-3263000</v>
      </c>
      <c r="P12" s="1">
        <f t="shared" si="1"/>
        <v>-4098400</v>
      </c>
      <c r="Q12" s="1">
        <f>E12</f>
        <v>-999000</v>
      </c>
    </row>
    <row r="13" spans="1:20" ht="15" thickBot="1">
      <c r="A13" s="4" t="s">
        <v>26</v>
      </c>
      <c r="E13" s="75">
        <f>E11+E12</f>
        <v>-2944400</v>
      </c>
      <c r="F13" s="75">
        <f t="shared" ref="F13:P13" si="2">F11+F12</f>
        <v>-3779800</v>
      </c>
      <c r="G13" s="75">
        <f t="shared" si="2"/>
        <v>-4615200</v>
      </c>
      <c r="H13" s="75">
        <f t="shared" si="2"/>
        <v>-3650600</v>
      </c>
      <c r="I13" s="75">
        <f t="shared" si="2"/>
        <v>-4486000</v>
      </c>
      <c r="J13" s="75">
        <f t="shared" si="2"/>
        <v>-3521400</v>
      </c>
      <c r="K13" s="75">
        <f t="shared" si="2"/>
        <v>-4356800</v>
      </c>
      <c r="L13" s="75">
        <f t="shared" si="2"/>
        <v>-3392200</v>
      </c>
      <c r="M13" s="75">
        <f t="shared" si="2"/>
        <v>-4227600</v>
      </c>
      <c r="N13" s="75">
        <f t="shared" si="2"/>
        <v>-3263000</v>
      </c>
      <c r="O13" s="75">
        <f t="shared" si="2"/>
        <v>-4098400</v>
      </c>
      <c r="P13" s="75">
        <f t="shared" si="2"/>
        <v>-3133800</v>
      </c>
      <c r="Q13" s="75">
        <f>SUM(Q11:Q12)</f>
        <v>-3133800</v>
      </c>
    </row>
    <row r="14" spans="1:20" ht="15" thickTop="1"/>
    <row r="16" spans="1:20">
      <c r="A16" s="51" t="s">
        <v>53</v>
      </c>
      <c r="E16" s="123" t="s">
        <v>45</v>
      </c>
      <c r="F16" s="123"/>
      <c r="G16" s="123"/>
      <c r="H16" s="123"/>
      <c r="I16" s="123"/>
      <c r="J16" s="123"/>
    </row>
    <row r="17" spans="1:10">
      <c r="A17" t="s">
        <v>44</v>
      </c>
      <c r="E17" s="45">
        <v>1</v>
      </c>
      <c r="F17" s="45">
        <v>2</v>
      </c>
      <c r="G17" s="45">
        <v>3</v>
      </c>
      <c r="H17" s="45">
        <v>4</v>
      </c>
      <c r="I17" s="45">
        <v>5</v>
      </c>
      <c r="J17" s="45" t="s">
        <v>196</v>
      </c>
    </row>
    <row r="18" spans="1:10">
      <c r="A18" s="4" t="s">
        <v>338</v>
      </c>
      <c r="E18" s="92">
        <f>'5 Yr IS Projections'!C22</f>
        <v>908700</v>
      </c>
      <c r="F18" s="92">
        <f>'5 Yr IS Projections'!D22</f>
        <v>947100</v>
      </c>
      <c r="G18" s="92">
        <f>'5 Yr IS Projections'!E22</f>
        <v>985500</v>
      </c>
      <c r="H18" s="92">
        <f>'5 Yr IS Projections'!F22</f>
        <v>1052100</v>
      </c>
      <c r="I18" s="92">
        <f>'5 Yr IS Projections'!G22</f>
        <v>1069500</v>
      </c>
      <c r="J18" s="92">
        <f>SUM(E18:I18)</f>
        <v>4962900</v>
      </c>
    </row>
    <row r="19" spans="1:10">
      <c r="A19" t="s">
        <v>39</v>
      </c>
      <c r="E19" s="92">
        <f>'5 Yr IS Projections'!C23</f>
        <v>272610</v>
      </c>
      <c r="F19" s="92">
        <f>'5 Yr IS Projections'!D23</f>
        <v>284130</v>
      </c>
      <c r="G19" s="92">
        <f>'5 Yr IS Projections'!E23</f>
        <v>295650</v>
      </c>
      <c r="H19" s="92">
        <f>'5 Yr IS Projections'!F23</f>
        <v>315630</v>
      </c>
      <c r="I19" s="92">
        <f>'5 Yr IS Projections'!G23</f>
        <v>320850</v>
      </c>
      <c r="J19" s="92">
        <f t="shared" ref="J19:J20" si="3">SUM(E19:I19)</f>
        <v>1488870</v>
      </c>
    </row>
    <row r="20" spans="1:10" ht="15" thickBot="1">
      <c r="A20" s="4" t="s">
        <v>208</v>
      </c>
      <c r="E20" s="93">
        <f>E18-E19</f>
        <v>636090</v>
      </c>
      <c r="F20" s="93">
        <f>F18-F19</f>
        <v>662970</v>
      </c>
      <c r="G20" s="93">
        <f>G18-G19</f>
        <v>689850</v>
      </c>
      <c r="H20" s="93">
        <f>H18-H19</f>
        <v>736470</v>
      </c>
      <c r="I20" s="93">
        <f>I18-I19</f>
        <v>748650</v>
      </c>
      <c r="J20" s="93">
        <f t="shared" si="3"/>
        <v>3474030</v>
      </c>
    </row>
    <row r="21" spans="1:10" ht="15" thickTop="1"/>
    <row r="23" spans="1:10">
      <c r="A23" s="51" t="s">
        <v>54</v>
      </c>
      <c r="E23" s="123" t="s">
        <v>46</v>
      </c>
      <c r="F23" s="123"/>
      <c r="G23" s="123"/>
      <c r="H23" s="123"/>
      <c r="I23" s="123"/>
      <c r="J23" s="123"/>
    </row>
    <row r="24" spans="1:10">
      <c r="A24" t="s">
        <v>44</v>
      </c>
      <c r="E24" s="45">
        <v>1</v>
      </c>
      <c r="F24" s="45">
        <v>2</v>
      </c>
      <c r="G24" s="45">
        <v>3</v>
      </c>
      <c r="H24" s="45">
        <v>4</v>
      </c>
      <c r="I24" s="45">
        <v>5</v>
      </c>
      <c r="J24" s="45" t="s">
        <v>196</v>
      </c>
    </row>
    <row r="25" spans="1:10">
      <c r="A25" s="4" t="s">
        <v>41</v>
      </c>
      <c r="E25" s="94">
        <f>'5 Yr CF Projections'!C27</f>
        <v>-2134800</v>
      </c>
      <c r="F25" s="94">
        <f>'5 Yr CF Projections'!D27</f>
        <v>540990</v>
      </c>
      <c r="G25" s="94">
        <f>'5 Yr CF Projections'!E27</f>
        <v>567870</v>
      </c>
      <c r="H25" s="94">
        <f>'5 Yr CF Projections'!F27</f>
        <v>610950</v>
      </c>
      <c r="I25" s="94">
        <f>'5 Yr CF Projections'!G27</f>
        <v>782370</v>
      </c>
      <c r="J25" s="94">
        <f>SUM(E25:I25)</f>
        <v>367380</v>
      </c>
    </row>
    <row r="26" spans="1:10">
      <c r="A26" t="s">
        <v>25</v>
      </c>
      <c r="E26" s="94">
        <f>'5 Yr CF Projections'!C28</f>
        <v>-999000</v>
      </c>
      <c r="F26" s="94">
        <f>'5 Yr CF Projections'!D28</f>
        <v>-3133800</v>
      </c>
      <c r="G26" s="94">
        <f>'5 Yr CF Projections'!E28</f>
        <v>-2592810</v>
      </c>
      <c r="H26" s="94">
        <f>'5 Yr CF Projections'!F28</f>
        <v>-2024940</v>
      </c>
      <c r="I26" s="94">
        <f>'5 Yr CF Projections'!G28</f>
        <v>-1413990</v>
      </c>
      <c r="J26" s="94">
        <f>E26</f>
        <v>-999000</v>
      </c>
    </row>
    <row r="27" spans="1:10" ht="15" thickBot="1">
      <c r="A27" s="4" t="s">
        <v>26</v>
      </c>
      <c r="E27" s="95">
        <f>SUM(E24:E26)</f>
        <v>-3133799</v>
      </c>
      <c r="F27" s="95">
        <f t="shared" ref="F27:I27" si="4">SUM(F24:F26)</f>
        <v>-2592808</v>
      </c>
      <c r="G27" s="95">
        <f t="shared" si="4"/>
        <v>-2024937</v>
      </c>
      <c r="H27" s="95">
        <f t="shared" si="4"/>
        <v>-1413986</v>
      </c>
      <c r="I27" s="95">
        <f t="shared" si="4"/>
        <v>-631615</v>
      </c>
      <c r="J27" s="95">
        <f>SUM(J25:J26)</f>
        <v>-631620</v>
      </c>
    </row>
    <row r="28" spans="1:10" ht="15" thickTop="1"/>
  </sheetData>
  <sortState ref="E17:J19">
    <sortCondition ref="J18:J19"/>
  </sortState>
  <mergeCells count="4">
    <mergeCell ref="E1:Q1"/>
    <mergeCell ref="E9:Q9"/>
    <mergeCell ref="E16:J16"/>
    <mergeCell ref="E23:J23"/>
  </mergeCells>
  <phoneticPr fontId="10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30"/>
  <sheetViews>
    <sheetView workbookViewId="0">
      <selection activeCell="E6" sqref="E6"/>
    </sheetView>
  </sheetViews>
  <sheetFormatPr baseColWidth="10" defaultColWidth="8.83203125" defaultRowHeight="14"/>
  <cols>
    <col min="1" max="1" width="34.1640625" customWidth="1"/>
    <col min="2" max="2" width="28.1640625" customWidth="1"/>
    <col min="3" max="3" width="7.6640625" bestFit="1" customWidth="1"/>
    <col min="4" max="4" width="1" customWidth="1"/>
    <col min="5" max="5" width="10" customWidth="1"/>
    <col min="6" max="6" width="10.33203125" customWidth="1"/>
    <col min="7" max="7" width="9.83203125" customWidth="1"/>
    <col min="8" max="8" width="11" customWidth="1"/>
    <col min="9" max="9" width="9.6640625" customWidth="1"/>
    <col min="10" max="10" width="10.1640625" customWidth="1"/>
    <col min="11" max="11" width="10" customWidth="1"/>
    <col min="12" max="13" width="10.1640625" customWidth="1"/>
    <col min="14" max="15" width="10" customWidth="1"/>
    <col min="16" max="16" width="10.5" customWidth="1"/>
    <col min="17" max="17" width="13" customWidth="1"/>
  </cols>
  <sheetData>
    <row r="1" spans="1:21">
      <c r="A1" t="s">
        <v>304</v>
      </c>
      <c r="E1" s="123" t="s">
        <v>76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3" spans="1:21" s="45" customFormat="1">
      <c r="A3" s="45" t="s">
        <v>173</v>
      </c>
      <c r="B3" s="45" t="s">
        <v>174</v>
      </c>
      <c r="E3" s="45" t="s">
        <v>305</v>
      </c>
      <c r="F3" s="45" t="s">
        <v>306</v>
      </c>
      <c r="G3" s="45" t="s">
        <v>307</v>
      </c>
      <c r="H3" s="45" t="s">
        <v>308</v>
      </c>
      <c r="I3" s="45" t="s">
        <v>309</v>
      </c>
      <c r="J3" s="45" t="s">
        <v>310</v>
      </c>
      <c r="K3" s="45" t="s">
        <v>311</v>
      </c>
      <c r="L3" s="45" t="s">
        <v>312</v>
      </c>
      <c r="M3" s="45" t="s">
        <v>313</v>
      </c>
      <c r="N3" s="45" t="s">
        <v>314</v>
      </c>
      <c r="O3" s="45" t="s">
        <v>315</v>
      </c>
      <c r="P3" s="45" t="s">
        <v>316</v>
      </c>
      <c r="Q3" s="45" t="s">
        <v>196</v>
      </c>
    </row>
    <row r="4" spans="1:21">
      <c r="A4" t="s">
        <v>317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f>SUM(E4:P4)</f>
        <v>24</v>
      </c>
      <c r="R4" s="1"/>
      <c r="S4" s="1"/>
      <c r="T4" s="1"/>
    </row>
    <row r="5" spans="1:21">
      <c r="A5" t="s">
        <v>318</v>
      </c>
      <c r="E5" s="1"/>
      <c r="F5" s="1">
        <v>4</v>
      </c>
      <c r="G5" s="1"/>
      <c r="H5" s="1">
        <v>4</v>
      </c>
      <c r="I5" s="1"/>
      <c r="J5" s="1">
        <v>4</v>
      </c>
      <c r="K5" s="1"/>
      <c r="L5" s="1">
        <v>4</v>
      </c>
      <c r="M5" s="1"/>
      <c r="N5" s="1">
        <v>4</v>
      </c>
      <c r="O5" s="1"/>
      <c r="P5" s="1">
        <v>4</v>
      </c>
      <c r="Q5" s="1">
        <f>SUM(E5:P5)</f>
        <v>24</v>
      </c>
      <c r="R5" s="1"/>
      <c r="S5" s="1"/>
      <c r="T5" s="1"/>
    </row>
    <row r="6" spans="1:21">
      <c r="A6" t="s">
        <v>165</v>
      </c>
      <c r="B6" s="20"/>
      <c r="C6" s="96"/>
      <c r="E6" s="1">
        <f>'Unit cost and price'!$D$14/1000</f>
        <v>488025</v>
      </c>
      <c r="F6" s="1">
        <f>'Unit cost and price'!$D$14/1000</f>
        <v>488025</v>
      </c>
      <c r="G6" s="1">
        <f>'Unit cost and price'!$D$14/1000</f>
        <v>488025</v>
      </c>
      <c r="H6" s="1">
        <f>'Unit cost and price'!$D$14/1000</f>
        <v>488025</v>
      </c>
      <c r="I6" s="1">
        <f>'Unit cost and price'!$D$14/1000</f>
        <v>488025</v>
      </c>
      <c r="J6" s="1">
        <f>'Unit cost and price'!$D$14/1000</f>
        <v>488025</v>
      </c>
      <c r="K6" s="1">
        <f>'Unit cost and price'!$D$14/1000</f>
        <v>488025</v>
      </c>
      <c r="L6" s="1">
        <f>'Unit cost and price'!$D$14/1000</f>
        <v>488025</v>
      </c>
      <c r="M6" s="1">
        <f>'Unit cost and price'!$D$14/1000</f>
        <v>488025</v>
      </c>
      <c r="N6" s="1">
        <f>'Unit cost and price'!$D$14/1000</f>
        <v>488025</v>
      </c>
      <c r="O6" s="1">
        <f>'Unit cost and price'!$D$14/1000</f>
        <v>488025</v>
      </c>
      <c r="P6" s="1">
        <f>'Unit cost and price'!$D$14/1000</f>
        <v>488025</v>
      </c>
      <c r="Q6" s="1">
        <f t="shared" ref="Q6:Q19" si="0">SUM(E6:P6)</f>
        <v>5856300</v>
      </c>
      <c r="R6" s="1"/>
      <c r="S6" s="1"/>
      <c r="T6" s="1"/>
    </row>
    <row r="7" spans="1:21">
      <c r="A7" s="4" t="s">
        <v>197</v>
      </c>
      <c r="B7" s="4"/>
      <c r="C7" s="4"/>
      <c r="D7" s="4"/>
      <c r="E7" s="68">
        <f>E4*E6</f>
        <v>976050</v>
      </c>
      <c r="F7" s="68">
        <f t="shared" ref="F7:P7" si="1">F4*F6</f>
        <v>976050</v>
      </c>
      <c r="G7" s="68">
        <f t="shared" si="1"/>
        <v>976050</v>
      </c>
      <c r="H7" s="68">
        <f t="shared" si="1"/>
        <v>976050</v>
      </c>
      <c r="I7" s="68">
        <f t="shared" si="1"/>
        <v>976050</v>
      </c>
      <c r="J7" s="68">
        <f t="shared" si="1"/>
        <v>976050</v>
      </c>
      <c r="K7" s="68">
        <f t="shared" si="1"/>
        <v>976050</v>
      </c>
      <c r="L7" s="68">
        <f t="shared" si="1"/>
        <v>976050</v>
      </c>
      <c r="M7" s="68">
        <f t="shared" si="1"/>
        <v>976050</v>
      </c>
      <c r="N7" s="68">
        <f t="shared" si="1"/>
        <v>976050</v>
      </c>
      <c r="O7" s="68">
        <f t="shared" si="1"/>
        <v>976050</v>
      </c>
      <c r="P7" s="68">
        <f t="shared" si="1"/>
        <v>976050</v>
      </c>
      <c r="Q7" s="68">
        <f t="shared" si="0"/>
        <v>11712600</v>
      </c>
      <c r="R7" s="1"/>
      <c r="S7" s="1"/>
      <c r="T7" s="1"/>
    </row>
    <row r="8" spans="1:21"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si="0"/>
        <v>0</v>
      </c>
      <c r="R8" s="1"/>
      <c r="S8" s="1"/>
      <c r="T8" s="1"/>
    </row>
    <row r="9" spans="1:21">
      <c r="A9" t="s">
        <v>167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0</v>
      </c>
      <c r="R9" s="1"/>
      <c r="S9" s="1"/>
      <c r="T9" s="1"/>
    </row>
    <row r="10" spans="1:21">
      <c r="A10" t="s">
        <v>99</v>
      </c>
      <c r="B10" t="s">
        <v>172</v>
      </c>
      <c r="E10" s="1">
        <f>'Unit cost and price'!D3*2/1000</f>
        <v>384000</v>
      </c>
      <c r="F10" s="1">
        <f>E10</f>
        <v>384000</v>
      </c>
      <c r="G10" s="1">
        <f t="shared" ref="G10:P10" si="2">F10</f>
        <v>384000</v>
      </c>
      <c r="H10" s="1">
        <f t="shared" si="2"/>
        <v>384000</v>
      </c>
      <c r="I10" s="1">
        <f t="shared" si="2"/>
        <v>384000</v>
      </c>
      <c r="J10" s="1">
        <f t="shared" si="2"/>
        <v>384000</v>
      </c>
      <c r="K10" s="1">
        <f t="shared" si="2"/>
        <v>384000</v>
      </c>
      <c r="L10" s="1">
        <f t="shared" si="2"/>
        <v>384000</v>
      </c>
      <c r="M10" s="1">
        <f t="shared" si="2"/>
        <v>384000</v>
      </c>
      <c r="N10" s="1">
        <f t="shared" si="2"/>
        <v>384000</v>
      </c>
      <c r="O10" s="1">
        <f t="shared" si="2"/>
        <v>384000</v>
      </c>
      <c r="P10" s="1">
        <f t="shared" si="2"/>
        <v>384000</v>
      </c>
      <c r="Q10" s="1">
        <f t="shared" si="0"/>
        <v>4608000</v>
      </c>
      <c r="R10" s="1"/>
      <c r="S10" s="1"/>
      <c r="T10" s="1"/>
    </row>
    <row r="11" spans="1:21">
      <c r="A11" t="s">
        <v>292</v>
      </c>
      <c r="B11" t="s">
        <v>157</v>
      </c>
      <c r="E11" s="1">
        <f>'Unit cost and price'!D4*2/1000</f>
        <v>120000</v>
      </c>
      <c r="F11" s="1">
        <f t="shared" ref="F11:P17" si="3">E11</f>
        <v>120000</v>
      </c>
      <c r="G11" s="1">
        <f t="shared" si="3"/>
        <v>120000</v>
      </c>
      <c r="H11" s="1">
        <f t="shared" si="3"/>
        <v>120000</v>
      </c>
      <c r="I11" s="1">
        <f t="shared" si="3"/>
        <v>120000</v>
      </c>
      <c r="J11" s="1">
        <f t="shared" si="3"/>
        <v>120000</v>
      </c>
      <c r="K11" s="1">
        <f t="shared" si="3"/>
        <v>120000</v>
      </c>
      <c r="L11" s="1">
        <f t="shared" si="3"/>
        <v>120000</v>
      </c>
      <c r="M11" s="1">
        <f t="shared" si="3"/>
        <v>120000</v>
      </c>
      <c r="N11" s="1">
        <f t="shared" si="3"/>
        <v>120000</v>
      </c>
      <c r="O11" s="1">
        <f t="shared" si="3"/>
        <v>120000</v>
      </c>
      <c r="P11" s="1">
        <f t="shared" si="3"/>
        <v>120000</v>
      </c>
      <c r="Q11" s="1">
        <f t="shared" si="0"/>
        <v>1440000</v>
      </c>
      <c r="R11" s="1"/>
      <c r="S11" s="1"/>
      <c r="T11" s="1"/>
    </row>
    <row r="12" spans="1:21">
      <c r="A12" t="s">
        <v>102</v>
      </c>
      <c r="B12" t="s">
        <v>158</v>
      </c>
      <c r="E12" s="26">
        <f>'Unit cost and price'!D5*2/1000</f>
        <v>24000</v>
      </c>
      <c r="F12" s="1">
        <f t="shared" si="3"/>
        <v>24000</v>
      </c>
      <c r="G12" s="1">
        <f>F12</f>
        <v>24000</v>
      </c>
      <c r="H12" s="1">
        <f t="shared" si="3"/>
        <v>24000</v>
      </c>
      <c r="I12" s="1">
        <f t="shared" si="3"/>
        <v>24000</v>
      </c>
      <c r="J12" s="1">
        <f t="shared" si="3"/>
        <v>24000</v>
      </c>
      <c r="K12" s="1">
        <f t="shared" si="3"/>
        <v>24000</v>
      </c>
      <c r="L12" s="1">
        <f t="shared" si="3"/>
        <v>24000</v>
      </c>
      <c r="M12" s="1">
        <f t="shared" si="3"/>
        <v>24000</v>
      </c>
      <c r="N12" s="1">
        <f t="shared" si="3"/>
        <v>24000</v>
      </c>
      <c r="O12" s="1">
        <f t="shared" si="3"/>
        <v>24000</v>
      </c>
      <c r="P12" s="1">
        <f t="shared" si="3"/>
        <v>24000</v>
      </c>
      <c r="Q12" s="1">
        <f>SUM(E12:P12)</f>
        <v>288000</v>
      </c>
      <c r="R12" s="1"/>
      <c r="S12" s="1"/>
      <c r="T12" s="1"/>
      <c r="U12" s="1"/>
    </row>
    <row r="13" spans="1:21">
      <c r="A13" t="s">
        <v>192</v>
      </c>
      <c r="B13" t="s">
        <v>156</v>
      </c>
      <c r="E13" s="1">
        <f>'Unit cost and price'!D6*2/1000</f>
        <v>63000</v>
      </c>
      <c r="F13" s="1">
        <f t="shared" si="3"/>
        <v>63000</v>
      </c>
      <c r="G13" s="1">
        <f t="shared" si="3"/>
        <v>63000</v>
      </c>
      <c r="H13" s="1">
        <f t="shared" si="3"/>
        <v>63000</v>
      </c>
      <c r="I13" s="1">
        <f t="shared" si="3"/>
        <v>63000</v>
      </c>
      <c r="J13" s="1">
        <f t="shared" si="3"/>
        <v>63000</v>
      </c>
      <c r="K13" s="1">
        <f t="shared" si="3"/>
        <v>63000</v>
      </c>
      <c r="L13" s="1">
        <f t="shared" si="3"/>
        <v>63000</v>
      </c>
      <c r="M13" s="1">
        <f t="shared" si="3"/>
        <v>63000</v>
      </c>
      <c r="N13" s="1">
        <f t="shared" si="3"/>
        <v>63000</v>
      </c>
      <c r="O13" s="1">
        <f t="shared" si="3"/>
        <v>63000</v>
      </c>
      <c r="P13" s="1">
        <f t="shared" si="3"/>
        <v>63000</v>
      </c>
      <c r="Q13" s="1">
        <f t="shared" si="0"/>
        <v>756000</v>
      </c>
      <c r="R13" s="1"/>
      <c r="S13" s="1"/>
      <c r="T13" s="1"/>
    </row>
    <row r="14" spans="1:21">
      <c r="A14" t="s">
        <v>200</v>
      </c>
      <c r="B14" t="s">
        <v>164</v>
      </c>
      <c r="E14" s="1">
        <f>'Unit cost and price'!D7*2/1000</f>
        <v>200000</v>
      </c>
      <c r="F14" s="1">
        <f t="shared" si="3"/>
        <v>200000</v>
      </c>
      <c r="G14" s="1">
        <f t="shared" si="3"/>
        <v>200000</v>
      </c>
      <c r="H14" s="1">
        <f t="shared" si="3"/>
        <v>200000</v>
      </c>
      <c r="I14" s="1">
        <f t="shared" si="3"/>
        <v>200000</v>
      </c>
      <c r="J14" s="1">
        <f t="shared" si="3"/>
        <v>200000</v>
      </c>
      <c r="K14" s="1">
        <f t="shared" si="3"/>
        <v>200000</v>
      </c>
      <c r="L14" s="1">
        <f t="shared" si="3"/>
        <v>200000</v>
      </c>
      <c r="M14" s="1">
        <f t="shared" si="3"/>
        <v>200000</v>
      </c>
      <c r="N14" s="1">
        <f t="shared" si="3"/>
        <v>200000</v>
      </c>
      <c r="O14" s="1">
        <f t="shared" si="3"/>
        <v>200000</v>
      </c>
      <c r="P14" s="1">
        <f t="shared" si="3"/>
        <v>200000</v>
      </c>
      <c r="Q14" s="1">
        <f t="shared" si="0"/>
        <v>2400000</v>
      </c>
      <c r="R14" s="1"/>
      <c r="S14" s="1"/>
      <c r="T14" s="1"/>
    </row>
    <row r="15" spans="1:21">
      <c r="A15" t="s">
        <v>117</v>
      </c>
      <c r="B15" t="s">
        <v>159</v>
      </c>
      <c r="E15" s="1">
        <f>'Unit cost and price'!D8*2/1000</f>
        <v>15000</v>
      </c>
      <c r="F15" s="1">
        <f t="shared" si="3"/>
        <v>15000</v>
      </c>
      <c r="G15" s="1">
        <f t="shared" si="3"/>
        <v>15000</v>
      </c>
      <c r="H15" s="1">
        <f t="shared" si="3"/>
        <v>15000</v>
      </c>
      <c r="I15" s="1">
        <f t="shared" si="3"/>
        <v>15000</v>
      </c>
      <c r="J15" s="1">
        <f t="shared" si="3"/>
        <v>15000</v>
      </c>
      <c r="K15" s="1">
        <f t="shared" si="3"/>
        <v>15000</v>
      </c>
      <c r="L15" s="1">
        <f t="shared" si="3"/>
        <v>15000</v>
      </c>
      <c r="M15" s="1">
        <f t="shared" si="3"/>
        <v>15000</v>
      </c>
      <c r="N15" s="1">
        <f t="shared" si="3"/>
        <v>15000</v>
      </c>
      <c r="O15" s="1">
        <f t="shared" si="3"/>
        <v>15000</v>
      </c>
      <c r="P15" s="1">
        <f t="shared" si="3"/>
        <v>15000</v>
      </c>
      <c r="Q15" s="1">
        <f t="shared" si="0"/>
        <v>180000</v>
      </c>
      <c r="R15" s="1"/>
      <c r="S15" s="1"/>
      <c r="T15" s="1"/>
    </row>
    <row r="16" spans="1:21">
      <c r="A16" t="s">
        <v>168</v>
      </c>
      <c r="B16" t="s">
        <v>170</v>
      </c>
      <c r="E16" s="26">
        <f>('Unit cost and price'!D9+'Unit cost and price'!D10)*2/1000</f>
        <v>4875</v>
      </c>
      <c r="F16" s="1">
        <f t="shared" si="3"/>
        <v>4875</v>
      </c>
      <c r="G16" s="1">
        <f t="shared" si="3"/>
        <v>4875</v>
      </c>
      <c r="H16" s="1">
        <f t="shared" si="3"/>
        <v>4875</v>
      </c>
      <c r="I16" s="1">
        <f t="shared" si="3"/>
        <v>4875</v>
      </c>
      <c r="J16" s="1">
        <f t="shared" si="3"/>
        <v>4875</v>
      </c>
      <c r="K16" s="1">
        <f t="shared" si="3"/>
        <v>4875</v>
      </c>
      <c r="L16" s="1">
        <f t="shared" si="3"/>
        <v>4875</v>
      </c>
      <c r="M16" s="1">
        <f t="shared" si="3"/>
        <v>4875</v>
      </c>
      <c r="N16" s="1">
        <f t="shared" si="3"/>
        <v>4875</v>
      </c>
      <c r="O16" s="1">
        <f t="shared" si="3"/>
        <v>4875</v>
      </c>
      <c r="P16" s="1">
        <f t="shared" si="3"/>
        <v>4875</v>
      </c>
      <c r="Q16" s="1">
        <f t="shared" si="0"/>
        <v>58500</v>
      </c>
      <c r="R16" s="1"/>
      <c r="S16" s="1"/>
      <c r="T16" s="1"/>
    </row>
    <row r="17" spans="1:20">
      <c r="A17" t="s">
        <v>169</v>
      </c>
      <c r="B17" t="s">
        <v>32</v>
      </c>
      <c r="E17" s="1">
        <f>'Unit cost and price'!D11*2/1000</f>
        <v>2500</v>
      </c>
      <c r="F17" s="1">
        <f t="shared" si="3"/>
        <v>2500</v>
      </c>
      <c r="G17" s="1">
        <f t="shared" si="3"/>
        <v>2500</v>
      </c>
      <c r="H17" s="1">
        <f t="shared" si="3"/>
        <v>2500</v>
      </c>
      <c r="I17" s="1">
        <f t="shared" si="3"/>
        <v>2500</v>
      </c>
      <c r="J17" s="1">
        <f t="shared" si="3"/>
        <v>2500</v>
      </c>
      <c r="K17" s="1">
        <f t="shared" si="3"/>
        <v>2500</v>
      </c>
      <c r="L17" s="1">
        <f t="shared" si="3"/>
        <v>2500</v>
      </c>
      <c r="M17" s="1">
        <f t="shared" si="3"/>
        <v>2500</v>
      </c>
      <c r="N17" s="1">
        <f t="shared" si="3"/>
        <v>2500</v>
      </c>
      <c r="O17" s="1">
        <f t="shared" si="3"/>
        <v>2500</v>
      </c>
      <c r="P17" s="1">
        <f t="shared" si="3"/>
        <v>2500</v>
      </c>
      <c r="Q17" s="1">
        <f t="shared" si="0"/>
        <v>30000</v>
      </c>
      <c r="R17" s="1"/>
      <c r="S17" s="1"/>
      <c r="T17" s="1"/>
    </row>
    <row r="18" spans="1:20">
      <c r="A18" t="s">
        <v>177</v>
      </c>
      <c r="E18" s="26">
        <f>Interest!$H$5</f>
        <v>10900</v>
      </c>
      <c r="F18" s="26">
        <f>Interest!$H$5</f>
        <v>10900</v>
      </c>
      <c r="G18" s="26">
        <f>Interest!$H$5</f>
        <v>10900</v>
      </c>
      <c r="H18" s="26">
        <f>Interest!$H$5</f>
        <v>10900</v>
      </c>
      <c r="I18" s="26">
        <f>Interest!$H$5</f>
        <v>10900</v>
      </c>
      <c r="J18" s="26">
        <f>Interest!$H$5</f>
        <v>10900</v>
      </c>
      <c r="K18" s="26">
        <f>Interest!$H$5</f>
        <v>10900</v>
      </c>
      <c r="L18" s="26">
        <f>Interest!$H$5</f>
        <v>10900</v>
      </c>
      <c r="M18" s="26">
        <f>Interest!$H$5</f>
        <v>10900</v>
      </c>
      <c r="N18" s="26">
        <f>Interest!$H$5</f>
        <v>10900</v>
      </c>
      <c r="O18" s="26">
        <f>Interest!$H$5</f>
        <v>10900</v>
      </c>
      <c r="P18" s="26">
        <f>Interest!$H$5</f>
        <v>10900</v>
      </c>
      <c r="Q18" s="26">
        <f t="shared" si="0"/>
        <v>130800</v>
      </c>
      <c r="R18" s="1"/>
      <c r="S18" s="1"/>
      <c r="T18" s="1"/>
    </row>
    <row r="19" spans="1:20">
      <c r="A19" s="4" t="s">
        <v>330</v>
      </c>
      <c r="B19" s="4"/>
      <c r="C19" s="4"/>
      <c r="D19" s="4"/>
      <c r="E19" s="68">
        <f t="shared" ref="E19:P19" si="4">SUM(E10:E18)</f>
        <v>824275</v>
      </c>
      <c r="F19" s="68">
        <f t="shared" si="4"/>
        <v>824275</v>
      </c>
      <c r="G19" s="68">
        <f t="shared" si="4"/>
        <v>824275</v>
      </c>
      <c r="H19" s="68">
        <f t="shared" si="4"/>
        <v>824275</v>
      </c>
      <c r="I19" s="68">
        <f t="shared" si="4"/>
        <v>824275</v>
      </c>
      <c r="J19" s="68">
        <f t="shared" si="4"/>
        <v>824275</v>
      </c>
      <c r="K19" s="68">
        <f t="shared" si="4"/>
        <v>824275</v>
      </c>
      <c r="L19" s="68">
        <f t="shared" si="4"/>
        <v>824275</v>
      </c>
      <c r="M19" s="68">
        <f t="shared" si="4"/>
        <v>824275</v>
      </c>
      <c r="N19" s="68">
        <f t="shared" si="4"/>
        <v>824275</v>
      </c>
      <c r="O19" s="68">
        <f t="shared" si="4"/>
        <v>824275</v>
      </c>
      <c r="P19" s="68">
        <f t="shared" si="4"/>
        <v>824275</v>
      </c>
      <c r="Q19" s="68">
        <f t="shared" si="0"/>
        <v>9891300</v>
      </c>
      <c r="R19" s="1"/>
      <c r="S19" s="1"/>
      <c r="T19" s="1"/>
    </row>
    <row r="20" spans="1:20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>
      <c r="A21" s="4" t="s">
        <v>338</v>
      </c>
      <c r="B21" s="4"/>
      <c r="C21" s="4"/>
      <c r="D21" s="4"/>
      <c r="E21" s="2">
        <f>E7-E19</f>
        <v>151775</v>
      </c>
      <c r="F21" s="2">
        <f t="shared" ref="F21:P21" si="5">F7-F19</f>
        <v>151775</v>
      </c>
      <c r="G21" s="2">
        <f t="shared" si="5"/>
        <v>151775</v>
      </c>
      <c r="H21" s="2">
        <f t="shared" si="5"/>
        <v>151775</v>
      </c>
      <c r="I21" s="2">
        <f t="shared" si="5"/>
        <v>151775</v>
      </c>
      <c r="J21" s="2">
        <f t="shared" si="5"/>
        <v>151775</v>
      </c>
      <c r="K21" s="2">
        <f t="shared" si="5"/>
        <v>151775</v>
      </c>
      <c r="L21" s="2">
        <f t="shared" si="5"/>
        <v>151775</v>
      </c>
      <c r="M21" s="2">
        <f t="shared" si="5"/>
        <v>151775</v>
      </c>
      <c r="N21" s="2">
        <f t="shared" si="5"/>
        <v>151775</v>
      </c>
      <c r="O21" s="2">
        <f t="shared" si="5"/>
        <v>151775</v>
      </c>
      <c r="P21" s="2">
        <f t="shared" si="5"/>
        <v>151775</v>
      </c>
      <c r="Q21" s="2">
        <f>SUM(E21:P21)</f>
        <v>1821300</v>
      </c>
      <c r="R21" s="1"/>
      <c r="S21" s="1"/>
      <c r="T21" s="1"/>
    </row>
    <row r="22" spans="1:20">
      <c r="A22" t="s">
        <v>39</v>
      </c>
      <c r="E22" s="1">
        <f>E21*0.3</f>
        <v>45532.5</v>
      </c>
      <c r="F22" s="1">
        <f t="shared" ref="F22:Q22" si="6">F21*0.3</f>
        <v>45532.5</v>
      </c>
      <c r="G22" s="1">
        <f t="shared" si="6"/>
        <v>45532.5</v>
      </c>
      <c r="H22" s="1">
        <f t="shared" si="6"/>
        <v>45532.5</v>
      </c>
      <c r="I22" s="1">
        <f t="shared" si="6"/>
        <v>45532.5</v>
      </c>
      <c r="J22" s="1">
        <f t="shared" si="6"/>
        <v>45532.5</v>
      </c>
      <c r="K22" s="1">
        <f t="shared" si="6"/>
        <v>45532.5</v>
      </c>
      <c r="L22" s="1">
        <f t="shared" si="6"/>
        <v>45532.5</v>
      </c>
      <c r="M22" s="1">
        <f t="shared" si="6"/>
        <v>45532.5</v>
      </c>
      <c r="N22" s="1">
        <f t="shared" si="6"/>
        <v>45532.5</v>
      </c>
      <c r="O22" s="1">
        <f t="shared" si="6"/>
        <v>45532.5</v>
      </c>
      <c r="P22" s="1">
        <f t="shared" si="6"/>
        <v>45532.5</v>
      </c>
      <c r="Q22" s="1">
        <f t="shared" si="6"/>
        <v>546390</v>
      </c>
      <c r="R22" s="1"/>
      <c r="S22" s="1"/>
      <c r="T22" s="1"/>
    </row>
    <row r="23" spans="1:20" ht="15" thickBot="1">
      <c r="A23" s="4" t="s">
        <v>208</v>
      </c>
      <c r="E23" s="49">
        <f>E21-E22</f>
        <v>106242.5</v>
      </c>
      <c r="F23" s="49">
        <f t="shared" ref="F23:Q23" si="7">F21-F22</f>
        <v>106242.5</v>
      </c>
      <c r="G23" s="49">
        <f t="shared" si="7"/>
        <v>106242.5</v>
      </c>
      <c r="H23" s="49">
        <f t="shared" si="7"/>
        <v>106242.5</v>
      </c>
      <c r="I23" s="49">
        <f t="shared" si="7"/>
        <v>106242.5</v>
      </c>
      <c r="J23" s="49">
        <f t="shared" si="7"/>
        <v>106242.5</v>
      </c>
      <c r="K23" s="49">
        <f t="shared" si="7"/>
        <v>106242.5</v>
      </c>
      <c r="L23" s="49">
        <f t="shared" si="7"/>
        <v>106242.5</v>
      </c>
      <c r="M23" s="49">
        <f t="shared" si="7"/>
        <v>106242.5</v>
      </c>
      <c r="N23" s="49">
        <f t="shared" si="7"/>
        <v>106242.5</v>
      </c>
      <c r="O23" s="49">
        <f t="shared" si="7"/>
        <v>106242.5</v>
      </c>
      <c r="P23" s="49">
        <f t="shared" si="7"/>
        <v>106242.5</v>
      </c>
      <c r="Q23" s="49">
        <f t="shared" si="7"/>
        <v>1274910</v>
      </c>
      <c r="R23" s="1"/>
      <c r="S23" s="1"/>
      <c r="T23" s="1"/>
    </row>
    <row r="24" spans="1:20" ht="15" thickTop="1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>
      <c r="A25" s="4" t="s">
        <v>210</v>
      </c>
      <c r="B25" t="s">
        <v>209</v>
      </c>
      <c r="C25" s="21">
        <f>Q23*100/'Capital forecast'!E20</f>
        <v>35.414166666666667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D27" s="1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1">
    <mergeCell ref="E1:Q1"/>
  </mergeCells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30"/>
  <sheetViews>
    <sheetView topLeftCell="B1" workbookViewId="0">
      <selection activeCell="Q9" sqref="Q9"/>
    </sheetView>
  </sheetViews>
  <sheetFormatPr baseColWidth="10" defaultColWidth="8.83203125" defaultRowHeight="14"/>
  <cols>
    <col min="1" max="1" width="34.1640625" customWidth="1"/>
    <col min="2" max="2" width="28.1640625" customWidth="1"/>
    <col min="3" max="3" width="7.6640625" bestFit="1" customWidth="1"/>
    <col min="4" max="4" width="1" customWidth="1"/>
    <col min="5" max="5" width="10" customWidth="1"/>
    <col min="6" max="6" width="10.33203125" customWidth="1"/>
    <col min="7" max="7" width="9.83203125" customWidth="1"/>
    <col min="8" max="8" width="11" customWidth="1"/>
    <col min="9" max="9" width="9.6640625" customWidth="1"/>
    <col min="10" max="10" width="10.1640625" customWidth="1"/>
    <col min="11" max="11" width="10" customWidth="1"/>
    <col min="12" max="13" width="10.1640625" customWidth="1"/>
    <col min="14" max="15" width="10" customWidth="1"/>
    <col min="16" max="16" width="10.5" customWidth="1"/>
    <col min="17" max="17" width="13" customWidth="1"/>
  </cols>
  <sheetData>
    <row r="1" spans="1:21">
      <c r="A1" t="s">
        <v>304</v>
      </c>
      <c r="E1" s="123" t="s">
        <v>76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3" spans="1:21" s="103" customFormat="1">
      <c r="A3" s="103" t="s">
        <v>173</v>
      </c>
      <c r="B3" s="103" t="s">
        <v>174</v>
      </c>
      <c r="E3" s="103" t="s">
        <v>305</v>
      </c>
      <c r="F3" s="103" t="s">
        <v>306</v>
      </c>
      <c r="G3" s="103" t="s">
        <v>307</v>
      </c>
      <c r="H3" s="103" t="s">
        <v>308</v>
      </c>
      <c r="I3" s="103" t="s">
        <v>309</v>
      </c>
      <c r="J3" s="103" t="s">
        <v>310</v>
      </c>
      <c r="K3" s="103" t="s">
        <v>311</v>
      </c>
      <c r="L3" s="103" t="s">
        <v>312</v>
      </c>
      <c r="M3" s="103" t="s">
        <v>313</v>
      </c>
      <c r="N3" s="103" t="s">
        <v>314</v>
      </c>
      <c r="O3" s="103" t="s">
        <v>315</v>
      </c>
      <c r="P3" s="103" t="s">
        <v>316</v>
      </c>
      <c r="Q3" s="103" t="s">
        <v>196</v>
      </c>
    </row>
    <row r="4" spans="1:21">
      <c r="A4" t="s">
        <v>317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f>SUM(E4:P4)</f>
        <v>24</v>
      </c>
      <c r="R4" s="1"/>
      <c r="S4" s="1"/>
      <c r="T4" s="1"/>
    </row>
    <row r="5" spans="1:21">
      <c r="A5" t="s">
        <v>318</v>
      </c>
      <c r="E5" s="1"/>
      <c r="F5" s="1">
        <v>4</v>
      </c>
      <c r="G5" s="1"/>
      <c r="H5" s="1">
        <v>4</v>
      </c>
      <c r="I5" s="1"/>
      <c r="J5" s="1">
        <v>4</v>
      </c>
      <c r="K5" s="1"/>
      <c r="L5" s="1">
        <v>4</v>
      </c>
      <c r="M5" s="1"/>
      <c r="N5" s="1">
        <v>4</v>
      </c>
      <c r="O5" s="1"/>
      <c r="P5" s="1">
        <v>4</v>
      </c>
      <c r="Q5" s="1">
        <f>SUM(E5:P5)</f>
        <v>24</v>
      </c>
      <c r="R5" s="1"/>
      <c r="S5" s="1"/>
      <c r="T5" s="1"/>
    </row>
    <row r="6" spans="1:21">
      <c r="A6" t="s">
        <v>165</v>
      </c>
      <c r="B6" s="92"/>
      <c r="C6" s="96"/>
      <c r="E6" s="1">
        <f>'Unit cost and price'!$D$16/1000</f>
        <v>450000</v>
      </c>
      <c r="F6" s="1">
        <f>'Unit cost and price'!$D$16/1000</f>
        <v>450000</v>
      </c>
      <c r="G6" s="1">
        <f>'Unit cost and price'!$D$16/1000</f>
        <v>450000</v>
      </c>
      <c r="H6" s="1">
        <f>'Unit cost and price'!$D$16/1000</f>
        <v>450000</v>
      </c>
      <c r="I6" s="1">
        <f>'Unit cost and price'!$D$16/1000</f>
        <v>450000</v>
      </c>
      <c r="J6" s="1">
        <f>'Unit cost and price'!$D$16/1000</f>
        <v>450000</v>
      </c>
      <c r="K6" s="1">
        <f>'Unit cost and price'!$D$16/1000</f>
        <v>450000</v>
      </c>
      <c r="L6" s="1">
        <f>'Unit cost and price'!$D$16/1000</f>
        <v>450000</v>
      </c>
      <c r="M6" s="1">
        <f>'Unit cost and price'!$D$16/1000</f>
        <v>450000</v>
      </c>
      <c r="N6" s="1">
        <f>'Unit cost and price'!$D$16/1000</f>
        <v>450000</v>
      </c>
      <c r="O6" s="1">
        <f>'Unit cost and price'!$D$16/1000</f>
        <v>450000</v>
      </c>
      <c r="P6" s="1">
        <f>'Unit cost and price'!$D$16/1000</f>
        <v>450000</v>
      </c>
      <c r="Q6" s="1">
        <f t="shared" ref="Q6:Q19" si="0">SUM(E6:P6)</f>
        <v>5400000</v>
      </c>
      <c r="R6" s="1"/>
      <c r="S6" s="1"/>
      <c r="T6" s="1"/>
    </row>
    <row r="7" spans="1:21">
      <c r="A7" s="4" t="s">
        <v>197</v>
      </c>
      <c r="B7" s="4"/>
      <c r="C7" s="4"/>
      <c r="D7" s="4"/>
      <c r="E7" s="68">
        <f>E4*E6</f>
        <v>900000</v>
      </c>
      <c r="F7" s="68">
        <f t="shared" ref="F7:P7" si="1">F4*F6</f>
        <v>900000</v>
      </c>
      <c r="G7" s="68">
        <f t="shared" si="1"/>
        <v>900000</v>
      </c>
      <c r="H7" s="68">
        <f t="shared" si="1"/>
        <v>900000</v>
      </c>
      <c r="I7" s="68">
        <f t="shared" si="1"/>
        <v>900000</v>
      </c>
      <c r="J7" s="68">
        <f t="shared" si="1"/>
        <v>900000</v>
      </c>
      <c r="K7" s="68">
        <f t="shared" si="1"/>
        <v>900000</v>
      </c>
      <c r="L7" s="68">
        <f t="shared" si="1"/>
        <v>900000</v>
      </c>
      <c r="M7" s="68">
        <f t="shared" si="1"/>
        <v>900000</v>
      </c>
      <c r="N7" s="68">
        <f t="shared" si="1"/>
        <v>900000</v>
      </c>
      <c r="O7" s="68">
        <f t="shared" si="1"/>
        <v>900000</v>
      </c>
      <c r="P7" s="68">
        <f t="shared" si="1"/>
        <v>900000</v>
      </c>
      <c r="Q7" s="68">
        <f t="shared" si="0"/>
        <v>10800000</v>
      </c>
      <c r="R7" s="1"/>
      <c r="S7" s="1"/>
      <c r="T7" s="1"/>
    </row>
    <row r="8" spans="1:21"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si="0"/>
        <v>0</v>
      </c>
      <c r="R8" s="1"/>
      <c r="S8" s="1"/>
      <c r="T8" s="1"/>
    </row>
    <row r="9" spans="1:21">
      <c r="A9" t="s">
        <v>167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0</v>
      </c>
      <c r="R9" s="1"/>
      <c r="S9" s="1"/>
      <c r="T9" s="1"/>
    </row>
    <row r="10" spans="1:21">
      <c r="A10" t="s">
        <v>99</v>
      </c>
      <c r="B10" t="s">
        <v>172</v>
      </c>
      <c r="E10" s="1">
        <f>'Unit cost and price'!D3*2/1000</f>
        <v>384000</v>
      </c>
      <c r="F10" s="1">
        <f>E10</f>
        <v>384000</v>
      </c>
      <c r="G10" s="1">
        <f t="shared" ref="G10:P10" si="2">F10</f>
        <v>384000</v>
      </c>
      <c r="H10" s="1">
        <f t="shared" si="2"/>
        <v>384000</v>
      </c>
      <c r="I10" s="1">
        <f t="shared" si="2"/>
        <v>384000</v>
      </c>
      <c r="J10" s="1">
        <f t="shared" si="2"/>
        <v>384000</v>
      </c>
      <c r="K10" s="1">
        <f t="shared" si="2"/>
        <v>384000</v>
      </c>
      <c r="L10" s="1">
        <f t="shared" si="2"/>
        <v>384000</v>
      </c>
      <c r="M10" s="1">
        <f t="shared" si="2"/>
        <v>384000</v>
      </c>
      <c r="N10" s="1">
        <f t="shared" si="2"/>
        <v>384000</v>
      </c>
      <c r="O10" s="1">
        <f t="shared" si="2"/>
        <v>384000</v>
      </c>
      <c r="P10" s="1">
        <f t="shared" si="2"/>
        <v>384000</v>
      </c>
      <c r="Q10" s="1">
        <f t="shared" si="0"/>
        <v>4608000</v>
      </c>
      <c r="R10" s="1"/>
      <c r="S10" s="1"/>
      <c r="T10" s="1"/>
    </row>
    <row r="11" spans="1:21">
      <c r="A11" t="s">
        <v>292</v>
      </c>
      <c r="B11" t="s">
        <v>157</v>
      </c>
      <c r="E11" s="1">
        <f>'Unit cost and price'!D4*2/1000</f>
        <v>120000</v>
      </c>
      <c r="F11" s="1">
        <f t="shared" ref="F11:P17" si="3">E11</f>
        <v>120000</v>
      </c>
      <c r="G11" s="1">
        <f t="shared" si="3"/>
        <v>120000</v>
      </c>
      <c r="H11" s="1">
        <f t="shared" si="3"/>
        <v>120000</v>
      </c>
      <c r="I11" s="1">
        <f t="shared" si="3"/>
        <v>120000</v>
      </c>
      <c r="J11" s="1">
        <f t="shared" si="3"/>
        <v>120000</v>
      </c>
      <c r="K11" s="1">
        <f t="shared" si="3"/>
        <v>120000</v>
      </c>
      <c r="L11" s="1">
        <f t="shared" si="3"/>
        <v>120000</v>
      </c>
      <c r="M11" s="1">
        <f t="shared" si="3"/>
        <v>120000</v>
      </c>
      <c r="N11" s="1">
        <f t="shared" si="3"/>
        <v>120000</v>
      </c>
      <c r="O11" s="1">
        <f t="shared" si="3"/>
        <v>120000</v>
      </c>
      <c r="P11" s="1">
        <f t="shared" si="3"/>
        <v>120000</v>
      </c>
      <c r="Q11" s="1">
        <f t="shared" si="0"/>
        <v>1440000</v>
      </c>
      <c r="R11" s="1"/>
      <c r="S11" s="1"/>
      <c r="T11" s="1"/>
    </row>
    <row r="12" spans="1:21">
      <c r="A12" t="s">
        <v>102</v>
      </c>
      <c r="B12" t="s">
        <v>158</v>
      </c>
      <c r="E12" s="26">
        <f>6000+'Unit cost and price'!D5*2/1000</f>
        <v>30000</v>
      </c>
      <c r="F12" s="1">
        <f t="shared" si="3"/>
        <v>30000</v>
      </c>
      <c r="G12" s="1">
        <f>F12</f>
        <v>30000</v>
      </c>
      <c r="H12" s="1">
        <f t="shared" si="3"/>
        <v>30000</v>
      </c>
      <c r="I12" s="1">
        <f t="shared" si="3"/>
        <v>30000</v>
      </c>
      <c r="J12" s="1">
        <f t="shared" si="3"/>
        <v>30000</v>
      </c>
      <c r="K12" s="1">
        <f t="shared" si="3"/>
        <v>30000</v>
      </c>
      <c r="L12" s="1">
        <f t="shared" si="3"/>
        <v>30000</v>
      </c>
      <c r="M12" s="1">
        <f t="shared" si="3"/>
        <v>30000</v>
      </c>
      <c r="N12" s="1">
        <f t="shared" si="3"/>
        <v>30000</v>
      </c>
      <c r="O12" s="1">
        <f t="shared" si="3"/>
        <v>30000</v>
      </c>
      <c r="P12" s="1">
        <f t="shared" si="3"/>
        <v>30000</v>
      </c>
      <c r="Q12" s="1">
        <f>SUM(E12:P12)</f>
        <v>360000</v>
      </c>
      <c r="R12" s="1"/>
      <c r="S12" s="1"/>
      <c r="T12" s="1"/>
      <c r="U12" s="1"/>
    </row>
    <row r="13" spans="1:21">
      <c r="A13" t="s">
        <v>192</v>
      </c>
      <c r="B13" t="s">
        <v>156</v>
      </c>
      <c r="E13" s="1">
        <f>'Unit cost and price'!D6*2/1000</f>
        <v>63000</v>
      </c>
      <c r="F13" s="1">
        <f t="shared" si="3"/>
        <v>63000</v>
      </c>
      <c r="G13" s="1">
        <f t="shared" si="3"/>
        <v>63000</v>
      </c>
      <c r="H13" s="1">
        <f t="shared" si="3"/>
        <v>63000</v>
      </c>
      <c r="I13" s="1">
        <f t="shared" si="3"/>
        <v>63000</v>
      </c>
      <c r="J13" s="1">
        <f t="shared" si="3"/>
        <v>63000</v>
      </c>
      <c r="K13" s="1">
        <f t="shared" si="3"/>
        <v>63000</v>
      </c>
      <c r="L13" s="1">
        <f t="shared" si="3"/>
        <v>63000</v>
      </c>
      <c r="M13" s="1">
        <f t="shared" si="3"/>
        <v>63000</v>
      </c>
      <c r="N13" s="1">
        <f t="shared" si="3"/>
        <v>63000</v>
      </c>
      <c r="O13" s="1">
        <f t="shared" si="3"/>
        <v>63000</v>
      </c>
      <c r="P13" s="1">
        <f t="shared" si="3"/>
        <v>63000</v>
      </c>
      <c r="Q13" s="1">
        <f t="shared" si="0"/>
        <v>756000</v>
      </c>
      <c r="R13" s="1"/>
      <c r="S13" s="1"/>
      <c r="T13" s="1"/>
    </row>
    <row r="14" spans="1:21">
      <c r="A14" t="s">
        <v>200</v>
      </c>
      <c r="B14" t="s">
        <v>164</v>
      </c>
      <c r="E14" s="1">
        <f>'Unit cost and price'!D7*2/1000</f>
        <v>200000</v>
      </c>
      <c r="F14" s="1">
        <f t="shared" si="3"/>
        <v>200000</v>
      </c>
      <c r="G14" s="1">
        <f t="shared" si="3"/>
        <v>200000</v>
      </c>
      <c r="H14" s="1">
        <f t="shared" si="3"/>
        <v>200000</v>
      </c>
      <c r="I14" s="1">
        <f t="shared" si="3"/>
        <v>200000</v>
      </c>
      <c r="J14" s="1">
        <f t="shared" si="3"/>
        <v>200000</v>
      </c>
      <c r="K14" s="1">
        <f t="shared" si="3"/>
        <v>200000</v>
      </c>
      <c r="L14" s="1">
        <f t="shared" si="3"/>
        <v>200000</v>
      </c>
      <c r="M14" s="1">
        <f t="shared" si="3"/>
        <v>200000</v>
      </c>
      <c r="N14" s="1">
        <f t="shared" si="3"/>
        <v>200000</v>
      </c>
      <c r="O14" s="1">
        <f t="shared" si="3"/>
        <v>200000</v>
      </c>
      <c r="P14" s="1">
        <f t="shared" si="3"/>
        <v>200000</v>
      </c>
      <c r="Q14" s="1">
        <f t="shared" si="0"/>
        <v>2400000</v>
      </c>
      <c r="R14" s="1"/>
      <c r="S14" s="1"/>
      <c r="T14" s="1"/>
    </row>
    <row r="15" spans="1:21">
      <c r="A15" t="s">
        <v>117</v>
      </c>
      <c r="B15" t="s">
        <v>159</v>
      </c>
      <c r="E15" s="1">
        <f>'Unit cost and price'!D8*2/1000</f>
        <v>15000</v>
      </c>
      <c r="F15" s="1">
        <f t="shared" si="3"/>
        <v>15000</v>
      </c>
      <c r="G15" s="1">
        <f t="shared" si="3"/>
        <v>15000</v>
      </c>
      <c r="H15" s="1">
        <f t="shared" si="3"/>
        <v>15000</v>
      </c>
      <c r="I15" s="1">
        <f t="shared" si="3"/>
        <v>15000</v>
      </c>
      <c r="J15" s="1">
        <f t="shared" si="3"/>
        <v>15000</v>
      </c>
      <c r="K15" s="1">
        <f t="shared" si="3"/>
        <v>15000</v>
      </c>
      <c r="L15" s="1">
        <f t="shared" si="3"/>
        <v>15000</v>
      </c>
      <c r="M15" s="1">
        <f t="shared" si="3"/>
        <v>15000</v>
      </c>
      <c r="N15" s="1">
        <f t="shared" si="3"/>
        <v>15000</v>
      </c>
      <c r="O15" s="1">
        <f t="shared" si="3"/>
        <v>15000</v>
      </c>
      <c r="P15" s="1">
        <f t="shared" si="3"/>
        <v>15000</v>
      </c>
      <c r="Q15" s="1">
        <f t="shared" si="0"/>
        <v>180000</v>
      </c>
      <c r="R15" s="1"/>
      <c r="S15" s="1"/>
      <c r="T15" s="1"/>
    </row>
    <row r="16" spans="1:21">
      <c r="A16" t="s">
        <v>168</v>
      </c>
      <c r="B16" t="s">
        <v>170</v>
      </c>
      <c r="E16" s="26">
        <f>('Unit cost and price'!D10)*2/1000</f>
        <v>708.33333333333337</v>
      </c>
      <c r="F16" s="1">
        <f t="shared" si="3"/>
        <v>708.33333333333337</v>
      </c>
      <c r="G16" s="1">
        <f t="shared" si="3"/>
        <v>708.33333333333337</v>
      </c>
      <c r="H16" s="1">
        <f t="shared" si="3"/>
        <v>708.33333333333337</v>
      </c>
      <c r="I16" s="1">
        <f t="shared" si="3"/>
        <v>708.33333333333337</v>
      </c>
      <c r="J16" s="1">
        <f t="shared" si="3"/>
        <v>708.33333333333337</v>
      </c>
      <c r="K16" s="1">
        <f t="shared" si="3"/>
        <v>708.33333333333337</v>
      </c>
      <c r="L16" s="1">
        <f t="shared" si="3"/>
        <v>708.33333333333337</v>
      </c>
      <c r="M16" s="1">
        <f t="shared" si="3"/>
        <v>708.33333333333337</v>
      </c>
      <c r="N16" s="1">
        <f t="shared" si="3"/>
        <v>708.33333333333337</v>
      </c>
      <c r="O16" s="1">
        <f t="shared" si="3"/>
        <v>708.33333333333337</v>
      </c>
      <c r="P16" s="1">
        <f t="shared" si="3"/>
        <v>708.33333333333337</v>
      </c>
      <c r="Q16" s="1">
        <f t="shared" si="0"/>
        <v>8499.9999999999982</v>
      </c>
      <c r="R16" s="1"/>
      <c r="S16" s="1"/>
      <c r="T16" s="1"/>
    </row>
    <row r="17" spans="1:20">
      <c r="A17" t="s">
        <v>169</v>
      </c>
      <c r="B17" t="s">
        <v>32</v>
      </c>
      <c r="E17" s="1">
        <f>'Unit cost and price'!D11*2/1000</f>
        <v>2500</v>
      </c>
      <c r="F17" s="1">
        <f t="shared" si="3"/>
        <v>2500</v>
      </c>
      <c r="G17" s="1">
        <f t="shared" si="3"/>
        <v>2500</v>
      </c>
      <c r="H17" s="1">
        <f t="shared" si="3"/>
        <v>2500</v>
      </c>
      <c r="I17" s="1">
        <f t="shared" si="3"/>
        <v>2500</v>
      </c>
      <c r="J17" s="1">
        <f t="shared" si="3"/>
        <v>2500</v>
      </c>
      <c r="K17" s="1">
        <f t="shared" si="3"/>
        <v>2500</v>
      </c>
      <c r="L17" s="1">
        <f t="shared" si="3"/>
        <v>2500</v>
      </c>
      <c r="M17" s="1">
        <f t="shared" si="3"/>
        <v>2500</v>
      </c>
      <c r="N17" s="1">
        <f t="shared" si="3"/>
        <v>2500</v>
      </c>
      <c r="O17" s="1">
        <f t="shared" si="3"/>
        <v>2500</v>
      </c>
      <c r="P17" s="1">
        <f t="shared" si="3"/>
        <v>2500</v>
      </c>
      <c r="Q17" s="1">
        <f t="shared" si="0"/>
        <v>30000</v>
      </c>
      <c r="R17" s="1"/>
      <c r="S17" s="1"/>
      <c r="T17" s="1"/>
    </row>
    <row r="18" spans="1:20">
      <c r="A18" t="s">
        <v>177</v>
      </c>
      <c r="E18" s="26">
        <f>Interest!$H$5</f>
        <v>10900</v>
      </c>
      <c r="F18" s="26">
        <f>Interest!$H$5</f>
        <v>10900</v>
      </c>
      <c r="G18" s="26">
        <f>Interest!$H$5</f>
        <v>10900</v>
      </c>
      <c r="H18" s="26">
        <f>Interest!$H$5</f>
        <v>10900</v>
      </c>
      <c r="I18" s="26">
        <f>Interest!$H$5</f>
        <v>10900</v>
      </c>
      <c r="J18" s="26">
        <f>Interest!$H$5</f>
        <v>10900</v>
      </c>
      <c r="K18" s="26">
        <f>Interest!$H$5</f>
        <v>10900</v>
      </c>
      <c r="L18" s="26">
        <f>Interest!$H$5</f>
        <v>10900</v>
      </c>
      <c r="M18" s="26">
        <f>Interest!$H$5</f>
        <v>10900</v>
      </c>
      <c r="N18" s="26">
        <f>Interest!$H$5</f>
        <v>10900</v>
      </c>
      <c r="O18" s="26">
        <f>Interest!$H$5</f>
        <v>10900</v>
      </c>
      <c r="P18" s="26">
        <f>Interest!$H$5</f>
        <v>10900</v>
      </c>
      <c r="Q18" s="26">
        <f t="shared" si="0"/>
        <v>130800</v>
      </c>
      <c r="R18" s="1"/>
      <c r="S18" s="1"/>
      <c r="T18" s="1"/>
    </row>
    <row r="19" spans="1:20">
      <c r="A19" s="4" t="s">
        <v>330</v>
      </c>
      <c r="B19" s="4"/>
      <c r="C19" s="4"/>
      <c r="D19" s="4"/>
      <c r="E19" s="68">
        <f t="shared" ref="E19:P19" si="4">SUM(E10:E18)</f>
        <v>826108.33333333337</v>
      </c>
      <c r="F19" s="68">
        <f t="shared" si="4"/>
        <v>826108.33333333337</v>
      </c>
      <c r="G19" s="68">
        <f t="shared" si="4"/>
        <v>826108.33333333337</v>
      </c>
      <c r="H19" s="68">
        <f t="shared" si="4"/>
        <v>826108.33333333337</v>
      </c>
      <c r="I19" s="68">
        <f t="shared" si="4"/>
        <v>826108.33333333337</v>
      </c>
      <c r="J19" s="68">
        <f t="shared" si="4"/>
        <v>826108.33333333337</v>
      </c>
      <c r="K19" s="68">
        <f t="shared" si="4"/>
        <v>826108.33333333337</v>
      </c>
      <c r="L19" s="68">
        <f t="shared" si="4"/>
        <v>826108.33333333337</v>
      </c>
      <c r="M19" s="68">
        <f t="shared" si="4"/>
        <v>826108.33333333337</v>
      </c>
      <c r="N19" s="68">
        <f t="shared" si="4"/>
        <v>826108.33333333337</v>
      </c>
      <c r="O19" s="68">
        <f t="shared" si="4"/>
        <v>826108.33333333337</v>
      </c>
      <c r="P19" s="68">
        <f t="shared" si="4"/>
        <v>826108.33333333337</v>
      </c>
      <c r="Q19" s="68">
        <f t="shared" si="0"/>
        <v>9913300</v>
      </c>
      <c r="R19" s="1"/>
      <c r="S19" s="1"/>
      <c r="T19" s="1"/>
    </row>
    <row r="20" spans="1:20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>
      <c r="A21" s="4" t="s">
        <v>338</v>
      </c>
      <c r="B21" s="4"/>
      <c r="C21" s="4"/>
      <c r="D21" s="4"/>
      <c r="E21" s="2">
        <f>E7-E19</f>
        <v>73891.666666666628</v>
      </c>
      <c r="F21" s="2">
        <f t="shared" ref="F21:P21" si="5">F7-F19</f>
        <v>73891.666666666628</v>
      </c>
      <c r="G21" s="2">
        <f t="shared" si="5"/>
        <v>73891.666666666628</v>
      </c>
      <c r="H21" s="2">
        <f t="shared" si="5"/>
        <v>73891.666666666628</v>
      </c>
      <c r="I21" s="2">
        <f t="shared" si="5"/>
        <v>73891.666666666628</v>
      </c>
      <c r="J21" s="2">
        <f t="shared" si="5"/>
        <v>73891.666666666628</v>
      </c>
      <c r="K21" s="2">
        <f t="shared" si="5"/>
        <v>73891.666666666628</v>
      </c>
      <c r="L21" s="2">
        <f t="shared" si="5"/>
        <v>73891.666666666628</v>
      </c>
      <c r="M21" s="2">
        <f t="shared" si="5"/>
        <v>73891.666666666628</v>
      </c>
      <c r="N21" s="2">
        <f t="shared" si="5"/>
        <v>73891.666666666628</v>
      </c>
      <c r="O21" s="2">
        <f t="shared" si="5"/>
        <v>73891.666666666628</v>
      </c>
      <c r="P21" s="2">
        <f t="shared" si="5"/>
        <v>73891.666666666628</v>
      </c>
      <c r="Q21" s="2">
        <f>SUM(E21:P21)</f>
        <v>886699.99999999953</v>
      </c>
      <c r="R21" s="1"/>
      <c r="S21" s="1"/>
      <c r="T21" s="1"/>
    </row>
    <row r="22" spans="1:20">
      <c r="A22" t="s">
        <v>39</v>
      </c>
      <c r="E22" s="1">
        <f>E21*0.3</f>
        <v>22167.499999999989</v>
      </c>
      <c r="F22" s="1">
        <f t="shared" ref="F22:Q22" si="6">F21*0.3</f>
        <v>22167.499999999989</v>
      </c>
      <c r="G22" s="1">
        <f t="shared" si="6"/>
        <v>22167.499999999989</v>
      </c>
      <c r="H22" s="1">
        <f t="shared" si="6"/>
        <v>22167.499999999989</v>
      </c>
      <c r="I22" s="1">
        <f t="shared" si="6"/>
        <v>22167.499999999989</v>
      </c>
      <c r="J22" s="1">
        <f t="shared" si="6"/>
        <v>22167.499999999989</v>
      </c>
      <c r="K22" s="1">
        <f t="shared" si="6"/>
        <v>22167.499999999989</v>
      </c>
      <c r="L22" s="1">
        <f t="shared" si="6"/>
        <v>22167.499999999989</v>
      </c>
      <c r="M22" s="1">
        <f t="shared" si="6"/>
        <v>22167.499999999989</v>
      </c>
      <c r="N22" s="1">
        <f t="shared" si="6"/>
        <v>22167.499999999989</v>
      </c>
      <c r="O22" s="1">
        <f t="shared" si="6"/>
        <v>22167.499999999989</v>
      </c>
      <c r="P22" s="1">
        <f t="shared" si="6"/>
        <v>22167.499999999989</v>
      </c>
      <c r="Q22" s="1">
        <f t="shared" si="6"/>
        <v>266009.99999999983</v>
      </c>
      <c r="R22" s="1"/>
      <c r="S22" s="1"/>
      <c r="T22" s="1"/>
    </row>
    <row r="23" spans="1:20" ht="15" thickBot="1">
      <c r="A23" s="4" t="s">
        <v>208</v>
      </c>
      <c r="E23" s="49">
        <f>E21-E22</f>
        <v>51724.166666666642</v>
      </c>
      <c r="F23" s="49">
        <f t="shared" ref="F23:Q23" si="7">F21-F22</f>
        <v>51724.166666666642</v>
      </c>
      <c r="G23" s="49">
        <f t="shared" si="7"/>
        <v>51724.166666666642</v>
      </c>
      <c r="H23" s="49">
        <f t="shared" si="7"/>
        <v>51724.166666666642</v>
      </c>
      <c r="I23" s="49">
        <f t="shared" si="7"/>
        <v>51724.166666666642</v>
      </c>
      <c r="J23" s="49">
        <f t="shared" si="7"/>
        <v>51724.166666666642</v>
      </c>
      <c r="K23" s="49">
        <f t="shared" si="7"/>
        <v>51724.166666666642</v>
      </c>
      <c r="L23" s="49">
        <f t="shared" si="7"/>
        <v>51724.166666666642</v>
      </c>
      <c r="M23" s="49">
        <f t="shared" si="7"/>
        <v>51724.166666666642</v>
      </c>
      <c r="N23" s="49">
        <f t="shared" si="7"/>
        <v>51724.166666666642</v>
      </c>
      <c r="O23" s="49">
        <f t="shared" si="7"/>
        <v>51724.166666666642</v>
      </c>
      <c r="P23" s="49">
        <f t="shared" si="7"/>
        <v>51724.166666666642</v>
      </c>
      <c r="Q23" s="49">
        <f t="shared" si="7"/>
        <v>620689.99999999977</v>
      </c>
      <c r="R23" s="1"/>
      <c r="S23" s="1"/>
      <c r="T23" s="1"/>
    </row>
    <row r="24" spans="1:20" ht="15" thickTop="1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>
      <c r="A25" s="4" t="s">
        <v>210</v>
      </c>
      <c r="B25" t="s">
        <v>209</v>
      </c>
      <c r="C25" s="21">
        <f>Q23*100/'Capital forecast'!E20</f>
        <v>17.241388888888881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D27" s="1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1">
    <mergeCell ref="E1:Q1"/>
  </mergeCells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30"/>
  <sheetViews>
    <sheetView topLeftCell="A5" workbookViewId="0">
      <selection activeCell="G25" sqref="G25"/>
    </sheetView>
  </sheetViews>
  <sheetFormatPr baseColWidth="10" defaultColWidth="8.83203125" defaultRowHeight="14"/>
  <cols>
    <col min="1" max="1" width="34.1640625" bestFit="1" customWidth="1"/>
    <col min="2" max="2" width="28.1640625" bestFit="1" customWidth="1"/>
    <col min="3" max="3" width="6.5" bestFit="1" customWidth="1"/>
    <col min="4" max="4" width="1" customWidth="1"/>
    <col min="5" max="5" width="12" customWidth="1"/>
    <col min="6" max="6" width="11.83203125" customWidth="1"/>
    <col min="7" max="7" width="12.1640625" customWidth="1"/>
    <col min="8" max="9" width="10.5" customWidth="1"/>
    <col min="10" max="10" width="12.1640625" customWidth="1"/>
    <col min="11" max="11" width="11.83203125" customWidth="1"/>
    <col min="12" max="12" width="11.33203125" customWidth="1"/>
    <col min="13" max="13" width="9.83203125" customWidth="1"/>
    <col min="14" max="14" width="9.6640625" customWidth="1"/>
    <col min="15" max="15" width="10.5" customWidth="1"/>
    <col min="16" max="16" width="10.1640625" customWidth="1"/>
    <col min="17" max="17" width="12.5" customWidth="1"/>
  </cols>
  <sheetData>
    <row r="1" spans="1:21">
      <c r="A1" t="s">
        <v>304</v>
      </c>
      <c r="E1" s="123" t="s">
        <v>76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3" spans="1:21" s="103" customFormat="1">
      <c r="A3" s="103" t="s">
        <v>173</v>
      </c>
      <c r="B3" s="103" t="s">
        <v>174</v>
      </c>
      <c r="E3" s="103" t="s">
        <v>305</v>
      </c>
      <c r="F3" s="103" t="s">
        <v>306</v>
      </c>
      <c r="G3" s="103" t="s">
        <v>307</v>
      </c>
      <c r="H3" s="103" t="s">
        <v>308</v>
      </c>
      <c r="I3" s="103" t="s">
        <v>309</v>
      </c>
      <c r="J3" s="103" t="s">
        <v>310</v>
      </c>
      <c r="K3" s="103" t="s">
        <v>311</v>
      </c>
      <c r="L3" s="103" t="s">
        <v>312</v>
      </c>
      <c r="M3" s="103" t="s">
        <v>313</v>
      </c>
      <c r="N3" s="103" t="s">
        <v>314</v>
      </c>
      <c r="O3" s="103" t="s">
        <v>315</v>
      </c>
      <c r="P3" s="103" t="s">
        <v>316</v>
      </c>
      <c r="Q3" s="103" t="s">
        <v>196</v>
      </c>
    </row>
    <row r="4" spans="1:21">
      <c r="A4" t="s">
        <v>317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f>SUM(E4:P4)</f>
        <v>24</v>
      </c>
      <c r="R4" s="1"/>
      <c r="S4" s="1"/>
      <c r="T4" s="1"/>
    </row>
    <row r="5" spans="1:21">
      <c r="A5" t="s">
        <v>318</v>
      </c>
      <c r="E5" s="1"/>
      <c r="F5" s="1">
        <v>4</v>
      </c>
      <c r="G5" s="1"/>
      <c r="H5" s="1">
        <v>4</v>
      </c>
      <c r="I5" s="1"/>
      <c r="J5" s="1">
        <v>4</v>
      </c>
      <c r="K5" s="1"/>
      <c r="L5" s="1">
        <v>4</v>
      </c>
      <c r="M5" s="1"/>
      <c r="N5" s="1">
        <v>4</v>
      </c>
      <c r="O5" s="1"/>
      <c r="P5" s="1">
        <v>4</v>
      </c>
      <c r="Q5" s="1">
        <f>SUM(E5:P5)</f>
        <v>24</v>
      </c>
      <c r="R5" s="1"/>
      <c r="S5" s="1"/>
      <c r="T5" s="1"/>
    </row>
    <row r="6" spans="1:21">
      <c r="A6" t="s">
        <v>165</v>
      </c>
      <c r="B6" s="92">
        <f>'Unit cost and price'!D16/1000</f>
        <v>450000</v>
      </c>
      <c r="E6" s="1">
        <f>$B$6</f>
        <v>450000</v>
      </c>
      <c r="F6" s="1">
        <f t="shared" ref="F6:P6" si="0">$B$6</f>
        <v>450000</v>
      </c>
      <c r="G6" s="1">
        <f t="shared" si="0"/>
        <v>450000</v>
      </c>
      <c r="H6" s="1">
        <f t="shared" si="0"/>
        <v>450000</v>
      </c>
      <c r="I6" s="1">
        <f t="shared" si="0"/>
        <v>450000</v>
      </c>
      <c r="J6" s="1">
        <f t="shared" si="0"/>
        <v>450000</v>
      </c>
      <c r="K6" s="1">
        <f t="shared" si="0"/>
        <v>450000</v>
      </c>
      <c r="L6" s="1">
        <f t="shared" si="0"/>
        <v>450000</v>
      </c>
      <c r="M6" s="1">
        <f t="shared" si="0"/>
        <v>450000</v>
      </c>
      <c r="N6" s="1">
        <f t="shared" si="0"/>
        <v>450000</v>
      </c>
      <c r="O6" s="1">
        <f t="shared" si="0"/>
        <v>450000</v>
      </c>
      <c r="P6" s="1">
        <f t="shared" si="0"/>
        <v>450000</v>
      </c>
      <c r="Q6" s="1">
        <f t="shared" ref="Q6:Q19" si="1">SUM(E6:P6)</f>
        <v>5400000</v>
      </c>
      <c r="R6" s="1"/>
      <c r="S6" s="1"/>
      <c r="T6" s="1"/>
    </row>
    <row r="7" spans="1:21">
      <c r="A7" s="4" t="s">
        <v>197</v>
      </c>
      <c r="B7" s="4"/>
      <c r="C7" s="4"/>
      <c r="D7" s="4"/>
      <c r="E7" s="68">
        <f>E4*E6</f>
        <v>900000</v>
      </c>
      <c r="F7" s="68">
        <f t="shared" ref="F7:P7" si="2">F4*F6</f>
        <v>900000</v>
      </c>
      <c r="G7" s="68">
        <f t="shared" si="2"/>
        <v>900000</v>
      </c>
      <c r="H7" s="68">
        <f t="shared" si="2"/>
        <v>900000</v>
      </c>
      <c r="I7" s="68">
        <f t="shared" si="2"/>
        <v>900000</v>
      </c>
      <c r="J7" s="68">
        <f t="shared" si="2"/>
        <v>900000</v>
      </c>
      <c r="K7" s="68">
        <f t="shared" si="2"/>
        <v>900000</v>
      </c>
      <c r="L7" s="68">
        <f t="shared" si="2"/>
        <v>900000</v>
      </c>
      <c r="M7" s="68">
        <f t="shared" si="2"/>
        <v>900000</v>
      </c>
      <c r="N7" s="68">
        <f t="shared" si="2"/>
        <v>900000</v>
      </c>
      <c r="O7" s="68">
        <f t="shared" si="2"/>
        <v>900000</v>
      </c>
      <c r="P7" s="68">
        <f t="shared" si="2"/>
        <v>900000</v>
      </c>
      <c r="Q7" s="68">
        <f t="shared" si="1"/>
        <v>10800000</v>
      </c>
      <c r="R7" s="1"/>
      <c r="S7" s="1"/>
      <c r="T7" s="1"/>
    </row>
    <row r="8" spans="1:21"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si="1"/>
        <v>0</v>
      </c>
      <c r="R8" s="1"/>
      <c r="S8" s="1"/>
      <c r="T8" s="1"/>
    </row>
    <row r="9" spans="1:21">
      <c r="A9" t="s">
        <v>167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1"/>
        <v>0</v>
      </c>
      <c r="R9" s="1"/>
      <c r="S9" s="1"/>
      <c r="T9" s="1"/>
    </row>
    <row r="10" spans="1:21">
      <c r="A10" t="s">
        <v>99</v>
      </c>
      <c r="B10" t="s">
        <v>172</v>
      </c>
      <c r="E10" s="1">
        <f>'Unit cost and price'!D3*2/1000</f>
        <v>384000</v>
      </c>
      <c r="F10" s="1">
        <f>E10</f>
        <v>384000</v>
      </c>
      <c r="G10" s="1">
        <f t="shared" ref="G10:P10" si="3">F10</f>
        <v>384000</v>
      </c>
      <c r="H10" s="1">
        <f t="shared" si="3"/>
        <v>384000</v>
      </c>
      <c r="I10" s="1">
        <f t="shared" si="3"/>
        <v>384000</v>
      </c>
      <c r="J10" s="1">
        <f t="shared" si="3"/>
        <v>384000</v>
      </c>
      <c r="K10" s="1">
        <f t="shared" si="3"/>
        <v>384000</v>
      </c>
      <c r="L10" s="1">
        <f t="shared" si="3"/>
        <v>384000</v>
      </c>
      <c r="M10" s="1">
        <f t="shared" si="3"/>
        <v>384000</v>
      </c>
      <c r="N10" s="1">
        <f t="shared" si="3"/>
        <v>384000</v>
      </c>
      <c r="O10" s="1">
        <f t="shared" si="3"/>
        <v>384000</v>
      </c>
      <c r="P10" s="1">
        <f t="shared" si="3"/>
        <v>384000</v>
      </c>
      <c r="Q10" s="1">
        <f t="shared" si="1"/>
        <v>4608000</v>
      </c>
      <c r="R10" s="1"/>
      <c r="S10" s="1"/>
      <c r="T10" s="1"/>
    </row>
    <row r="11" spans="1:21">
      <c r="A11" t="s">
        <v>292</v>
      </c>
      <c r="B11" t="s">
        <v>157</v>
      </c>
      <c r="E11" s="1">
        <f>'Unit cost and price'!D4*2/1000</f>
        <v>120000</v>
      </c>
      <c r="F11" s="1">
        <f t="shared" ref="F11:P17" si="4">E11</f>
        <v>120000</v>
      </c>
      <c r="G11" s="1">
        <f t="shared" si="4"/>
        <v>120000</v>
      </c>
      <c r="H11" s="1">
        <f t="shared" si="4"/>
        <v>120000</v>
      </c>
      <c r="I11" s="1">
        <f t="shared" si="4"/>
        <v>120000</v>
      </c>
      <c r="J11" s="1">
        <f t="shared" si="4"/>
        <v>120000</v>
      </c>
      <c r="K11" s="1">
        <f t="shared" si="4"/>
        <v>120000</v>
      </c>
      <c r="L11" s="1">
        <f t="shared" si="4"/>
        <v>120000</v>
      </c>
      <c r="M11" s="1">
        <f t="shared" si="4"/>
        <v>120000</v>
      </c>
      <c r="N11" s="1">
        <f t="shared" si="4"/>
        <v>120000</v>
      </c>
      <c r="O11" s="1">
        <f t="shared" si="4"/>
        <v>120000</v>
      </c>
      <c r="P11" s="1">
        <f t="shared" si="4"/>
        <v>120000</v>
      </c>
      <c r="Q11" s="1">
        <f t="shared" si="1"/>
        <v>1440000</v>
      </c>
      <c r="R11" s="1"/>
      <c r="S11" s="1"/>
      <c r="T11" s="1"/>
    </row>
    <row r="12" spans="1:21">
      <c r="A12" t="s">
        <v>102</v>
      </c>
      <c r="B12" t="s">
        <v>158</v>
      </c>
      <c r="E12" s="26">
        <f>6000+'Unit cost and price'!D5*2/1000</f>
        <v>30000</v>
      </c>
      <c r="F12" s="1">
        <f t="shared" si="4"/>
        <v>30000</v>
      </c>
      <c r="G12" s="1">
        <f>F12</f>
        <v>30000</v>
      </c>
      <c r="H12" s="1">
        <f t="shared" si="4"/>
        <v>30000</v>
      </c>
      <c r="I12" s="1">
        <f t="shared" si="4"/>
        <v>30000</v>
      </c>
      <c r="J12" s="1">
        <f t="shared" si="4"/>
        <v>30000</v>
      </c>
      <c r="K12" s="1">
        <f t="shared" si="4"/>
        <v>30000</v>
      </c>
      <c r="L12" s="1">
        <f t="shared" si="4"/>
        <v>30000</v>
      </c>
      <c r="M12" s="1">
        <f t="shared" si="4"/>
        <v>30000</v>
      </c>
      <c r="N12" s="1">
        <f t="shared" si="4"/>
        <v>30000</v>
      </c>
      <c r="O12" s="1">
        <f t="shared" si="4"/>
        <v>30000</v>
      </c>
      <c r="P12" s="1">
        <f t="shared" si="4"/>
        <v>30000</v>
      </c>
      <c r="Q12" s="1">
        <f>SUM(E12:P12)</f>
        <v>360000</v>
      </c>
      <c r="R12" s="1"/>
      <c r="S12" s="1"/>
      <c r="T12" s="1"/>
      <c r="U12" s="1"/>
    </row>
    <row r="13" spans="1:21">
      <c r="A13" t="s">
        <v>192</v>
      </c>
      <c r="B13" t="s">
        <v>156</v>
      </c>
      <c r="E13" s="1">
        <f>'Unit cost and price'!D6*2/1000</f>
        <v>63000</v>
      </c>
      <c r="F13" s="1">
        <f t="shared" si="4"/>
        <v>63000</v>
      </c>
      <c r="G13" s="1">
        <f t="shared" si="4"/>
        <v>63000</v>
      </c>
      <c r="H13" s="1">
        <f t="shared" si="4"/>
        <v>63000</v>
      </c>
      <c r="I13" s="1">
        <f t="shared" si="4"/>
        <v>63000</v>
      </c>
      <c r="J13" s="1">
        <f t="shared" si="4"/>
        <v>63000</v>
      </c>
      <c r="K13" s="1">
        <f t="shared" si="4"/>
        <v>63000</v>
      </c>
      <c r="L13" s="1">
        <f t="shared" si="4"/>
        <v>63000</v>
      </c>
      <c r="M13" s="1">
        <f t="shared" si="4"/>
        <v>63000</v>
      </c>
      <c r="N13" s="1">
        <f t="shared" si="4"/>
        <v>63000</v>
      </c>
      <c r="O13" s="1">
        <f t="shared" si="4"/>
        <v>63000</v>
      </c>
      <c r="P13" s="1">
        <f t="shared" si="4"/>
        <v>63000</v>
      </c>
      <c r="Q13" s="1">
        <f t="shared" si="1"/>
        <v>756000</v>
      </c>
      <c r="R13" s="1"/>
      <c r="S13" s="1"/>
      <c r="T13" s="1"/>
    </row>
    <row r="14" spans="1:21">
      <c r="A14" t="s">
        <v>200</v>
      </c>
      <c r="B14" t="s">
        <v>164</v>
      </c>
      <c r="E14" s="1">
        <f>'Unit cost and price'!D7*2/1000</f>
        <v>200000</v>
      </c>
      <c r="F14" s="1">
        <f t="shared" si="4"/>
        <v>200000</v>
      </c>
      <c r="G14" s="1">
        <f t="shared" si="4"/>
        <v>200000</v>
      </c>
      <c r="H14" s="1">
        <f t="shared" si="4"/>
        <v>200000</v>
      </c>
      <c r="I14" s="1">
        <f t="shared" si="4"/>
        <v>200000</v>
      </c>
      <c r="J14" s="1">
        <f t="shared" si="4"/>
        <v>200000</v>
      </c>
      <c r="K14" s="1">
        <f t="shared" si="4"/>
        <v>200000</v>
      </c>
      <c r="L14" s="1">
        <f t="shared" si="4"/>
        <v>200000</v>
      </c>
      <c r="M14" s="1">
        <f t="shared" si="4"/>
        <v>200000</v>
      </c>
      <c r="N14" s="1">
        <f t="shared" si="4"/>
        <v>200000</v>
      </c>
      <c r="O14" s="1">
        <f t="shared" si="4"/>
        <v>200000</v>
      </c>
      <c r="P14" s="1">
        <f t="shared" si="4"/>
        <v>200000</v>
      </c>
      <c r="Q14" s="1">
        <f t="shared" si="1"/>
        <v>2400000</v>
      </c>
      <c r="R14" s="1"/>
      <c r="S14" s="1"/>
      <c r="T14" s="1"/>
    </row>
    <row r="15" spans="1:21">
      <c r="A15" t="s">
        <v>117</v>
      </c>
      <c r="B15" t="s">
        <v>159</v>
      </c>
      <c r="E15" s="1">
        <f>'Unit cost and price'!D8*2/1000</f>
        <v>15000</v>
      </c>
      <c r="F15" s="1">
        <f t="shared" si="4"/>
        <v>15000</v>
      </c>
      <c r="G15" s="1">
        <f t="shared" si="4"/>
        <v>15000</v>
      </c>
      <c r="H15" s="1">
        <f t="shared" si="4"/>
        <v>15000</v>
      </c>
      <c r="I15" s="1">
        <f t="shared" si="4"/>
        <v>15000</v>
      </c>
      <c r="J15" s="1">
        <f t="shared" si="4"/>
        <v>15000</v>
      </c>
      <c r="K15" s="1">
        <f t="shared" si="4"/>
        <v>15000</v>
      </c>
      <c r="L15" s="1">
        <f t="shared" si="4"/>
        <v>15000</v>
      </c>
      <c r="M15" s="1">
        <f t="shared" si="4"/>
        <v>15000</v>
      </c>
      <c r="N15" s="1">
        <f t="shared" si="4"/>
        <v>15000</v>
      </c>
      <c r="O15" s="1">
        <f t="shared" si="4"/>
        <v>15000</v>
      </c>
      <c r="P15" s="1">
        <f t="shared" si="4"/>
        <v>15000</v>
      </c>
      <c r="Q15" s="1">
        <f t="shared" si="1"/>
        <v>180000</v>
      </c>
      <c r="R15" s="1"/>
      <c r="S15" s="1"/>
      <c r="T15" s="1"/>
    </row>
    <row r="16" spans="1:21">
      <c r="A16" t="s">
        <v>168</v>
      </c>
      <c r="B16" t="s">
        <v>170</v>
      </c>
      <c r="E16" s="26">
        <f>('Unit cost and price'!D10)*2/1000</f>
        <v>708.33333333333337</v>
      </c>
      <c r="F16" s="1">
        <f t="shared" si="4"/>
        <v>708.33333333333337</v>
      </c>
      <c r="G16" s="1">
        <f t="shared" si="4"/>
        <v>708.33333333333337</v>
      </c>
      <c r="H16" s="1">
        <f t="shared" si="4"/>
        <v>708.33333333333337</v>
      </c>
      <c r="I16" s="1">
        <f t="shared" si="4"/>
        <v>708.33333333333337</v>
      </c>
      <c r="J16" s="1">
        <f t="shared" si="4"/>
        <v>708.33333333333337</v>
      </c>
      <c r="K16" s="1">
        <f t="shared" si="4"/>
        <v>708.33333333333337</v>
      </c>
      <c r="L16" s="1">
        <f t="shared" si="4"/>
        <v>708.33333333333337</v>
      </c>
      <c r="M16" s="1">
        <f t="shared" si="4"/>
        <v>708.33333333333337</v>
      </c>
      <c r="N16" s="1">
        <f t="shared" si="4"/>
        <v>708.33333333333337</v>
      </c>
      <c r="O16" s="1">
        <f t="shared" si="4"/>
        <v>708.33333333333337</v>
      </c>
      <c r="P16" s="1">
        <f t="shared" si="4"/>
        <v>708.33333333333337</v>
      </c>
      <c r="Q16" s="1">
        <f t="shared" si="1"/>
        <v>8499.9999999999982</v>
      </c>
      <c r="R16" s="1"/>
      <c r="S16" s="1"/>
      <c r="T16" s="1"/>
    </row>
    <row r="17" spans="1:20">
      <c r="A17" t="s">
        <v>169</v>
      </c>
      <c r="B17" t="s">
        <v>32</v>
      </c>
      <c r="E17" s="1">
        <f>'Unit cost and price'!D11*2/1000</f>
        <v>2500</v>
      </c>
      <c r="F17" s="1">
        <f t="shared" si="4"/>
        <v>2500</v>
      </c>
      <c r="G17" s="1">
        <f t="shared" si="4"/>
        <v>2500</v>
      </c>
      <c r="H17" s="1">
        <f t="shared" si="4"/>
        <v>2500</v>
      </c>
      <c r="I17" s="1">
        <f t="shared" si="4"/>
        <v>2500</v>
      </c>
      <c r="J17" s="1">
        <f t="shared" si="4"/>
        <v>2500</v>
      </c>
      <c r="K17" s="1">
        <f t="shared" si="4"/>
        <v>2500</v>
      </c>
      <c r="L17" s="1">
        <f t="shared" si="4"/>
        <v>2500</v>
      </c>
      <c r="M17" s="1">
        <f t="shared" si="4"/>
        <v>2500</v>
      </c>
      <c r="N17" s="1">
        <f t="shared" si="4"/>
        <v>2500</v>
      </c>
      <c r="O17" s="1">
        <f t="shared" si="4"/>
        <v>2500</v>
      </c>
      <c r="P17" s="1">
        <f t="shared" si="4"/>
        <v>2500</v>
      </c>
      <c r="Q17" s="1">
        <f t="shared" si="1"/>
        <v>30000</v>
      </c>
      <c r="R17" s="1"/>
      <c r="S17" s="1"/>
      <c r="T17" s="1"/>
    </row>
    <row r="18" spans="1:20">
      <c r="A18" t="s">
        <v>177</v>
      </c>
      <c r="E18" s="26">
        <f>Interest!$H$5</f>
        <v>10900</v>
      </c>
      <c r="F18" s="26">
        <f>Interest!$H$5</f>
        <v>10900</v>
      </c>
      <c r="G18" s="26">
        <f>Interest!$H$5</f>
        <v>10900</v>
      </c>
      <c r="H18" s="26">
        <f>Interest!$H$5</f>
        <v>10900</v>
      </c>
      <c r="I18" s="26">
        <f>Interest!$H$5</f>
        <v>10900</v>
      </c>
      <c r="J18" s="26">
        <f>Interest!$H$5</f>
        <v>10900</v>
      </c>
      <c r="K18" s="26">
        <f>Interest!$H$5</f>
        <v>10900</v>
      </c>
      <c r="L18" s="26">
        <f>Interest!$H$5</f>
        <v>10900</v>
      </c>
      <c r="M18" s="26">
        <f>Interest!$H$5</f>
        <v>10900</v>
      </c>
      <c r="N18" s="26">
        <f>Interest!$H$5</f>
        <v>10900</v>
      </c>
      <c r="O18" s="26">
        <f>Interest!$H$5</f>
        <v>10900</v>
      </c>
      <c r="P18" s="26">
        <f>Interest!$H$5</f>
        <v>10900</v>
      </c>
      <c r="Q18" s="26">
        <f t="shared" si="1"/>
        <v>130800</v>
      </c>
      <c r="R18" s="1"/>
      <c r="S18" s="1"/>
      <c r="T18" s="1"/>
    </row>
    <row r="19" spans="1:20">
      <c r="A19" s="4" t="s">
        <v>330</v>
      </c>
      <c r="B19" s="4"/>
      <c r="C19" s="4"/>
      <c r="D19" s="4"/>
      <c r="E19" s="68">
        <f t="shared" ref="E19:P19" si="5">SUM(E10:E18)</f>
        <v>826108.33333333337</v>
      </c>
      <c r="F19" s="68">
        <f t="shared" si="5"/>
        <v>826108.33333333337</v>
      </c>
      <c r="G19" s="68">
        <f t="shared" si="5"/>
        <v>826108.33333333337</v>
      </c>
      <c r="H19" s="68">
        <f t="shared" si="5"/>
        <v>826108.33333333337</v>
      </c>
      <c r="I19" s="68">
        <f t="shared" si="5"/>
        <v>826108.33333333337</v>
      </c>
      <c r="J19" s="68">
        <f t="shared" si="5"/>
        <v>826108.33333333337</v>
      </c>
      <c r="K19" s="68">
        <f t="shared" si="5"/>
        <v>826108.33333333337</v>
      </c>
      <c r="L19" s="68">
        <f t="shared" si="5"/>
        <v>826108.33333333337</v>
      </c>
      <c r="M19" s="68">
        <f t="shared" si="5"/>
        <v>826108.33333333337</v>
      </c>
      <c r="N19" s="68">
        <f t="shared" si="5"/>
        <v>826108.33333333337</v>
      </c>
      <c r="O19" s="68">
        <f t="shared" si="5"/>
        <v>826108.33333333337</v>
      </c>
      <c r="P19" s="68">
        <f t="shared" si="5"/>
        <v>826108.33333333337</v>
      </c>
      <c r="Q19" s="68">
        <f t="shared" si="1"/>
        <v>9913300</v>
      </c>
      <c r="R19" s="1"/>
      <c r="S19" s="1"/>
      <c r="T19" s="1"/>
    </row>
    <row r="20" spans="1:20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>
      <c r="A21" s="4" t="s">
        <v>338</v>
      </c>
      <c r="B21" s="4"/>
      <c r="C21" s="4"/>
      <c r="D21" s="4"/>
      <c r="E21" s="2">
        <f>E7-E19</f>
        <v>73891.666666666628</v>
      </c>
      <c r="F21" s="2">
        <f t="shared" ref="F21:P21" si="6">F7-F19</f>
        <v>73891.666666666628</v>
      </c>
      <c r="G21" s="2">
        <f t="shared" si="6"/>
        <v>73891.666666666628</v>
      </c>
      <c r="H21" s="2">
        <f t="shared" si="6"/>
        <v>73891.666666666628</v>
      </c>
      <c r="I21" s="2">
        <f t="shared" si="6"/>
        <v>73891.666666666628</v>
      </c>
      <c r="J21" s="2">
        <f t="shared" si="6"/>
        <v>73891.666666666628</v>
      </c>
      <c r="K21" s="2">
        <f t="shared" si="6"/>
        <v>73891.666666666628</v>
      </c>
      <c r="L21" s="2">
        <f t="shared" si="6"/>
        <v>73891.666666666628</v>
      </c>
      <c r="M21" s="2">
        <f t="shared" si="6"/>
        <v>73891.666666666628</v>
      </c>
      <c r="N21" s="2">
        <f t="shared" si="6"/>
        <v>73891.666666666628</v>
      </c>
      <c r="O21" s="2">
        <f t="shared" si="6"/>
        <v>73891.666666666628</v>
      </c>
      <c r="P21" s="2">
        <f t="shared" si="6"/>
        <v>73891.666666666628</v>
      </c>
      <c r="Q21" s="2">
        <f>SUM(E21:P21)</f>
        <v>886699.99999999953</v>
      </c>
      <c r="R21" s="1"/>
      <c r="S21" s="1"/>
      <c r="T21" s="1"/>
    </row>
    <row r="22" spans="1:20">
      <c r="A22" t="s">
        <v>39</v>
      </c>
      <c r="E22" s="1">
        <f>E21*0.3</f>
        <v>22167.499999999989</v>
      </c>
      <c r="F22" s="1">
        <f t="shared" ref="F22:Q22" si="7">F21*0.3</f>
        <v>22167.499999999989</v>
      </c>
      <c r="G22" s="1">
        <f t="shared" si="7"/>
        <v>22167.499999999989</v>
      </c>
      <c r="H22" s="1">
        <f t="shared" si="7"/>
        <v>22167.499999999989</v>
      </c>
      <c r="I22" s="1">
        <f t="shared" si="7"/>
        <v>22167.499999999989</v>
      </c>
      <c r="J22" s="1">
        <f t="shared" si="7"/>
        <v>22167.499999999989</v>
      </c>
      <c r="K22" s="1">
        <f t="shared" si="7"/>
        <v>22167.499999999989</v>
      </c>
      <c r="L22" s="1">
        <f t="shared" si="7"/>
        <v>22167.499999999989</v>
      </c>
      <c r="M22" s="1">
        <f t="shared" si="7"/>
        <v>22167.499999999989</v>
      </c>
      <c r="N22" s="1">
        <f t="shared" si="7"/>
        <v>22167.499999999989</v>
      </c>
      <c r="O22" s="1">
        <f t="shared" si="7"/>
        <v>22167.499999999989</v>
      </c>
      <c r="P22" s="1">
        <f t="shared" si="7"/>
        <v>22167.499999999989</v>
      </c>
      <c r="Q22" s="1">
        <f t="shared" si="7"/>
        <v>266009.99999999983</v>
      </c>
      <c r="R22" s="1"/>
      <c r="S22" s="1"/>
      <c r="T22" s="1"/>
    </row>
    <row r="23" spans="1:20" ht="15" thickBot="1">
      <c r="A23" s="4" t="s">
        <v>208</v>
      </c>
      <c r="E23" s="49">
        <f>E21-E22</f>
        <v>51724.166666666642</v>
      </c>
      <c r="F23" s="49">
        <f t="shared" ref="F23:Q23" si="8">F21-F22</f>
        <v>51724.166666666642</v>
      </c>
      <c r="G23" s="49">
        <f t="shared" si="8"/>
        <v>51724.166666666642</v>
      </c>
      <c r="H23" s="49">
        <f t="shared" si="8"/>
        <v>51724.166666666642</v>
      </c>
      <c r="I23" s="49">
        <f t="shared" si="8"/>
        <v>51724.166666666642</v>
      </c>
      <c r="J23" s="49">
        <f t="shared" si="8"/>
        <v>51724.166666666642</v>
      </c>
      <c r="K23" s="49">
        <f t="shared" si="8"/>
        <v>51724.166666666642</v>
      </c>
      <c r="L23" s="49">
        <f t="shared" si="8"/>
        <v>51724.166666666642</v>
      </c>
      <c r="M23" s="49">
        <f t="shared" si="8"/>
        <v>51724.166666666642</v>
      </c>
      <c r="N23" s="49">
        <f t="shared" si="8"/>
        <v>51724.166666666642</v>
      </c>
      <c r="O23" s="49">
        <f t="shared" si="8"/>
        <v>51724.166666666642</v>
      </c>
      <c r="P23" s="49">
        <f t="shared" si="8"/>
        <v>51724.166666666642</v>
      </c>
      <c r="Q23" s="49">
        <f t="shared" si="8"/>
        <v>620689.99999999977</v>
      </c>
      <c r="R23" s="1"/>
      <c r="S23" s="1"/>
      <c r="T23" s="1"/>
    </row>
    <row r="24" spans="1:20" ht="15" thickTop="1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>
      <c r="A25" s="4" t="s">
        <v>210</v>
      </c>
      <c r="B25" t="s">
        <v>209</v>
      </c>
      <c r="C25" s="21">
        <f>Q23*100/'Capital forecast'!E20</f>
        <v>17.241388888888881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D27" s="1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1">
    <mergeCell ref="E1:Q1"/>
  </mergeCells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30"/>
  <sheetViews>
    <sheetView topLeftCell="B4" workbookViewId="0">
      <selection activeCell="G9" sqref="G9"/>
    </sheetView>
  </sheetViews>
  <sheetFormatPr baseColWidth="10" defaultColWidth="8.83203125" defaultRowHeight="14"/>
  <cols>
    <col min="1" max="1" width="34.1640625" customWidth="1"/>
    <col min="2" max="2" width="28.1640625" customWidth="1"/>
    <col min="3" max="3" width="7.6640625" bestFit="1" customWidth="1"/>
    <col min="4" max="4" width="1" customWidth="1"/>
    <col min="5" max="5" width="10" customWidth="1"/>
    <col min="6" max="6" width="10.33203125" customWidth="1"/>
    <col min="7" max="7" width="9.83203125" customWidth="1"/>
    <col min="8" max="8" width="11" customWidth="1"/>
    <col min="9" max="9" width="9.6640625" customWidth="1"/>
    <col min="10" max="10" width="10.1640625" customWidth="1"/>
    <col min="11" max="11" width="10" customWidth="1"/>
    <col min="12" max="13" width="10.1640625" customWidth="1"/>
    <col min="14" max="15" width="10" customWidth="1"/>
    <col min="16" max="16" width="10.5" customWidth="1"/>
    <col min="17" max="17" width="13" customWidth="1"/>
  </cols>
  <sheetData>
    <row r="1" spans="1:21">
      <c r="A1" t="s">
        <v>304</v>
      </c>
      <c r="E1" s="123" t="s">
        <v>76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3" spans="1:21" s="103" customFormat="1">
      <c r="A3" s="103" t="s">
        <v>173</v>
      </c>
      <c r="B3" s="103" t="s">
        <v>174</v>
      </c>
      <c r="E3" s="103" t="s">
        <v>305</v>
      </c>
      <c r="F3" s="103" t="s">
        <v>306</v>
      </c>
      <c r="G3" s="103" t="s">
        <v>307</v>
      </c>
      <c r="H3" s="103" t="s">
        <v>308</v>
      </c>
      <c r="I3" s="103" t="s">
        <v>309</v>
      </c>
      <c r="J3" s="103" t="s">
        <v>310</v>
      </c>
      <c r="K3" s="103" t="s">
        <v>311</v>
      </c>
      <c r="L3" s="103" t="s">
        <v>312</v>
      </c>
      <c r="M3" s="103" t="s">
        <v>313</v>
      </c>
      <c r="N3" s="103" t="s">
        <v>314</v>
      </c>
      <c r="O3" s="103" t="s">
        <v>315</v>
      </c>
      <c r="P3" s="103" t="s">
        <v>316</v>
      </c>
      <c r="Q3" s="103" t="s">
        <v>196</v>
      </c>
    </row>
    <row r="4" spans="1:21">
      <c r="A4" t="s">
        <v>317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f>SUM(E4:P4)</f>
        <v>24</v>
      </c>
      <c r="R4" s="1"/>
      <c r="S4" s="1"/>
      <c r="T4" s="1"/>
    </row>
    <row r="5" spans="1:21">
      <c r="A5" t="s">
        <v>318</v>
      </c>
      <c r="E5" s="1"/>
      <c r="F5" s="1">
        <v>4</v>
      </c>
      <c r="G5" s="1"/>
      <c r="H5" s="1">
        <v>4</v>
      </c>
      <c r="I5" s="1"/>
      <c r="J5" s="1">
        <v>4</v>
      </c>
      <c r="K5" s="1"/>
      <c r="L5" s="1">
        <v>4</v>
      </c>
      <c r="M5" s="1"/>
      <c r="N5" s="1">
        <v>4</v>
      </c>
      <c r="O5" s="1"/>
      <c r="P5" s="1">
        <v>4</v>
      </c>
      <c r="Q5" s="1">
        <f>SUM(E5:P5)</f>
        <v>24</v>
      </c>
      <c r="R5" s="1"/>
      <c r="S5" s="1"/>
      <c r="T5" s="1"/>
    </row>
    <row r="6" spans="1:21">
      <c r="A6" t="s">
        <v>165</v>
      </c>
      <c r="B6" s="92"/>
      <c r="C6" s="96"/>
      <c r="E6" s="1">
        <f>'Unit cost and price'!$D$14/1000</f>
        <v>488025</v>
      </c>
      <c r="F6" s="1">
        <f>'Unit cost and price'!$D$14/1000</f>
        <v>488025</v>
      </c>
      <c r="G6" s="1">
        <f>'Unit cost and price'!$D$14/1000</f>
        <v>488025</v>
      </c>
      <c r="H6" s="1">
        <f>'Unit cost and price'!$D$14/1000</f>
        <v>488025</v>
      </c>
      <c r="I6" s="1">
        <f>'Unit cost and price'!$D$14/1000</f>
        <v>488025</v>
      </c>
      <c r="J6" s="1">
        <f>'Unit cost and price'!$D$14/1000</f>
        <v>488025</v>
      </c>
      <c r="K6" s="1">
        <f>'Unit cost and price'!$D$14/1000</f>
        <v>488025</v>
      </c>
      <c r="L6" s="1">
        <f>'Unit cost and price'!$D$14/1000</f>
        <v>488025</v>
      </c>
      <c r="M6" s="1">
        <f>'Unit cost and price'!$D$14/1000</f>
        <v>488025</v>
      </c>
      <c r="N6" s="1">
        <f>'Unit cost and price'!$D$14/1000</f>
        <v>488025</v>
      </c>
      <c r="O6" s="1">
        <f>'Unit cost and price'!$D$14/1000</f>
        <v>488025</v>
      </c>
      <c r="P6" s="1">
        <f>'Unit cost and price'!$D$14/1000</f>
        <v>488025</v>
      </c>
      <c r="Q6" s="1">
        <f t="shared" ref="Q6:Q19" si="0">SUM(E6:P6)</f>
        <v>5856300</v>
      </c>
      <c r="R6" s="1"/>
      <c r="S6" s="1"/>
      <c r="T6" s="1"/>
    </row>
    <row r="7" spans="1:21">
      <c r="A7" s="4" t="s">
        <v>197</v>
      </c>
      <c r="B7" s="4"/>
      <c r="C7" s="4"/>
      <c r="D7" s="4"/>
      <c r="E7" s="68">
        <f>E4*E6</f>
        <v>976050</v>
      </c>
      <c r="F7" s="68">
        <f t="shared" ref="F7:P7" si="1">F4*F6</f>
        <v>976050</v>
      </c>
      <c r="G7" s="68">
        <f t="shared" si="1"/>
        <v>976050</v>
      </c>
      <c r="H7" s="68">
        <f t="shared" si="1"/>
        <v>976050</v>
      </c>
      <c r="I7" s="68">
        <f t="shared" si="1"/>
        <v>976050</v>
      </c>
      <c r="J7" s="68">
        <f t="shared" si="1"/>
        <v>976050</v>
      </c>
      <c r="K7" s="68">
        <f t="shared" si="1"/>
        <v>976050</v>
      </c>
      <c r="L7" s="68">
        <f t="shared" si="1"/>
        <v>976050</v>
      </c>
      <c r="M7" s="68">
        <f t="shared" si="1"/>
        <v>976050</v>
      </c>
      <c r="N7" s="68">
        <f t="shared" si="1"/>
        <v>976050</v>
      </c>
      <c r="O7" s="68">
        <f t="shared" si="1"/>
        <v>976050</v>
      </c>
      <c r="P7" s="68">
        <f t="shared" si="1"/>
        <v>976050</v>
      </c>
      <c r="Q7" s="68">
        <f t="shared" si="0"/>
        <v>11712600</v>
      </c>
      <c r="R7" s="1"/>
      <c r="S7" s="1"/>
      <c r="T7" s="1"/>
    </row>
    <row r="8" spans="1:21"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si="0"/>
        <v>0</v>
      </c>
      <c r="R8" s="1"/>
      <c r="S8" s="1"/>
      <c r="T8" s="1"/>
    </row>
    <row r="9" spans="1:21">
      <c r="A9" t="s">
        <v>167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0</v>
      </c>
      <c r="R9" s="1"/>
      <c r="S9" s="1"/>
      <c r="T9" s="1"/>
    </row>
    <row r="10" spans="1:21">
      <c r="A10" t="s">
        <v>99</v>
      </c>
      <c r="B10" t="s">
        <v>172</v>
      </c>
      <c r="E10" s="1">
        <f>'Unit cost and price'!D3*2/1000</f>
        <v>384000</v>
      </c>
      <c r="F10" s="1">
        <f>E10</f>
        <v>384000</v>
      </c>
      <c r="G10" s="1">
        <f t="shared" ref="G10:P10" si="2">F10</f>
        <v>384000</v>
      </c>
      <c r="H10" s="1">
        <f t="shared" si="2"/>
        <v>384000</v>
      </c>
      <c r="I10" s="1">
        <f t="shared" si="2"/>
        <v>384000</v>
      </c>
      <c r="J10" s="1">
        <f t="shared" si="2"/>
        <v>384000</v>
      </c>
      <c r="K10" s="1">
        <f t="shared" si="2"/>
        <v>384000</v>
      </c>
      <c r="L10" s="1">
        <f t="shared" si="2"/>
        <v>384000</v>
      </c>
      <c r="M10" s="1">
        <f t="shared" si="2"/>
        <v>384000</v>
      </c>
      <c r="N10" s="1">
        <f t="shared" si="2"/>
        <v>384000</v>
      </c>
      <c r="O10" s="1">
        <f t="shared" si="2"/>
        <v>384000</v>
      </c>
      <c r="P10" s="1">
        <f t="shared" si="2"/>
        <v>384000</v>
      </c>
      <c r="Q10" s="1">
        <f t="shared" si="0"/>
        <v>4608000</v>
      </c>
      <c r="R10" s="1"/>
      <c r="S10" s="1"/>
      <c r="T10" s="1"/>
    </row>
    <row r="11" spans="1:21">
      <c r="A11" t="s">
        <v>292</v>
      </c>
      <c r="B11" t="s">
        <v>157</v>
      </c>
      <c r="E11" s="1">
        <f>'Unit cost and price'!D4*2/1000</f>
        <v>120000</v>
      </c>
      <c r="F11" s="1">
        <f t="shared" ref="F11:P17" si="3">E11</f>
        <v>120000</v>
      </c>
      <c r="G11" s="1">
        <f t="shared" si="3"/>
        <v>120000</v>
      </c>
      <c r="H11" s="1">
        <f t="shared" si="3"/>
        <v>120000</v>
      </c>
      <c r="I11" s="1">
        <f t="shared" si="3"/>
        <v>120000</v>
      </c>
      <c r="J11" s="1">
        <f t="shared" si="3"/>
        <v>120000</v>
      </c>
      <c r="K11" s="1">
        <f t="shared" si="3"/>
        <v>120000</v>
      </c>
      <c r="L11" s="1">
        <f t="shared" si="3"/>
        <v>120000</v>
      </c>
      <c r="M11" s="1">
        <f t="shared" si="3"/>
        <v>120000</v>
      </c>
      <c r="N11" s="1">
        <f t="shared" si="3"/>
        <v>120000</v>
      </c>
      <c r="O11" s="1">
        <f t="shared" si="3"/>
        <v>120000</v>
      </c>
      <c r="P11" s="1">
        <f t="shared" si="3"/>
        <v>120000</v>
      </c>
      <c r="Q11" s="1">
        <f t="shared" si="0"/>
        <v>1440000</v>
      </c>
      <c r="R11" s="1"/>
      <c r="S11" s="1"/>
      <c r="T11" s="1"/>
    </row>
    <row r="12" spans="1:21">
      <c r="A12" t="s">
        <v>102</v>
      </c>
      <c r="B12" t="s">
        <v>158</v>
      </c>
      <c r="E12" s="26">
        <f>6000+'Unit cost and price'!D5*2/1000</f>
        <v>30000</v>
      </c>
      <c r="F12" s="1">
        <f t="shared" si="3"/>
        <v>30000</v>
      </c>
      <c r="G12" s="1">
        <f>F12</f>
        <v>30000</v>
      </c>
      <c r="H12" s="1">
        <f t="shared" si="3"/>
        <v>30000</v>
      </c>
      <c r="I12" s="1">
        <f t="shared" si="3"/>
        <v>30000</v>
      </c>
      <c r="J12" s="1">
        <f t="shared" si="3"/>
        <v>30000</v>
      </c>
      <c r="K12" s="1">
        <f t="shared" si="3"/>
        <v>30000</v>
      </c>
      <c r="L12" s="1">
        <f t="shared" si="3"/>
        <v>30000</v>
      </c>
      <c r="M12" s="1">
        <f t="shared" si="3"/>
        <v>30000</v>
      </c>
      <c r="N12" s="1">
        <f t="shared" si="3"/>
        <v>30000</v>
      </c>
      <c r="O12" s="1">
        <f t="shared" si="3"/>
        <v>30000</v>
      </c>
      <c r="P12" s="1">
        <f t="shared" si="3"/>
        <v>30000</v>
      </c>
      <c r="Q12" s="1">
        <f>SUM(E12:P12)</f>
        <v>360000</v>
      </c>
      <c r="R12" s="1"/>
      <c r="S12" s="1"/>
      <c r="T12" s="1"/>
      <c r="U12" s="1"/>
    </row>
    <row r="13" spans="1:21">
      <c r="A13" t="s">
        <v>192</v>
      </c>
      <c r="B13" t="s">
        <v>156</v>
      </c>
      <c r="E13" s="1">
        <f>'Unit cost and price'!D6*2/1000</f>
        <v>63000</v>
      </c>
      <c r="F13" s="1">
        <f t="shared" si="3"/>
        <v>63000</v>
      </c>
      <c r="G13" s="1">
        <f t="shared" si="3"/>
        <v>63000</v>
      </c>
      <c r="H13" s="1">
        <f t="shared" si="3"/>
        <v>63000</v>
      </c>
      <c r="I13" s="1">
        <f t="shared" si="3"/>
        <v>63000</v>
      </c>
      <c r="J13" s="1">
        <f t="shared" si="3"/>
        <v>63000</v>
      </c>
      <c r="K13" s="1">
        <f t="shared" si="3"/>
        <v>63000</v>
      </c>
      <c r="L13" s="1">
        <f t="shared" si="3"/>
        <v>63000</v>
      </c>
      <c r="M13" s="1">
        <f t="shared" si="3"/>
        <v>63000</v>
      </c>
      <c r="N13" s="1">
        <f t="shared" si="3"/>
        <v>63000</v>
      </c>
      <c r="O13" s="1">
        <f t="shared" si="3"/>
        <v>63000</v>
      </c>
      <c r="P13" s="1">
        <f t="shared" si="3"/>
        <v>63000</v>
      </c>
      <c r="Q13" s="1">
        <f t="shared" si="0"/>
        <v>756000</v>
      </c>
      <c r="R13" s="1"/>
      <c r="S13" s="1"/>
      <c r="T13" s="1"/>
    </row>
    <row r="14" spans="1:21">
      <c r="A14" t="s">
        <v>200</v>
      </c>
      <c r="B14" t="s">
        <v>164</v>
      </c>
      <c r="E14" s="1">
        <f>'Unit cost and price'!D7*2/1000</f>
        <v>200000</v>
      </c>
      <c r="F14" s="1">
        <f t="shared" si="3"/>
        <v>200000</v>
      </c>
      <c r="G14" s="1">
        <f t="shared" si="3"/>
        <v>200000</v>
      </c>
      <c r="H14" s="1">
        <f t="shared" si="3"/>
        <v>200000</v>
      </c>
      <c r="I14" s="1">
        <f t="shared" si="3"/>
        <v>200000</v>
      </c>
      <c r="J14" s="1">
        <f t="shared" si="3"/>
        <v>200000</v>
      </c>
      <c r="K14" s="1">
        <f t="shared" si="3"/>
        <v>200000</v>
      </c>
      <c r="L14" s="1">
        <f t="shared" si="3"/>
        <v>200000</v>
      </c>
      <c r="M14" s="1">
        <f t="shared" si="3"/>
        <v>200000</v>
      </c>
      <c r="N14" s="1">
        <f t="shared" si="3"/>
        <v>200000</v>
      </c>
      <c r="O14" s="1">
        <f t="shared" si="3"/>
        <v>200000</v>
      </c>
      <c r="P14" s="1">
        <f t="shared" si="3"/>
        <v>200000</v>
      </c>
      <c r="Q14" s="1">
        <f t="shared" si="0"/>
        <v>2400000</v>
      </c>
      <c r="R14" s="1"/>
      <c r="S14" s="1"/>
      <c r="T14" s="1"/>
    </row>
    <row r="15" spans="1:21">
      <c r="A15" t="s">
        <v>117</v>
      </c>
      <c r="B15" t="s">
        <v>159</v>
      </c>
      <c r="E15" s="1">
        <f>'Unit cost and price'!D8*2/1000</f>
        <v>15000</v>
      </c>
      <c r="F15" s="1">
        <f t="shared" si="3"/>
        <v>15000</v>
      </c>
      <c r="G15" s="1">
        <f t="shared" si="3"/>
        <v>15000</v>
      </c>
      <c r="H15" s="1">
        <f t="shared" si="3"/>
        <v>15000</v>
      </c>
      <c r="I15" s="1">
        <f t="shared" si="3"/>
        <v>15000</v>
      </c>
      <c r="J15" s="1">
        <f t="shared" si="3"/>
        <v>15000</v>
      </c>
      <c r="K15" s="1">
        <f t="shared" si="3"/>
        <v>15000</v>
      </c>
      <c r="L15" s="1">
        <f t="shared" si="3"/>
        <v>15000</v>
      </c>
      <c r="M15" s="1">
        <f t="shared" si="3"/>
        <v>15000</v>
      </c>
      <c r="N15" s="1">
        <f t="shared" si="3"/>
        <v>15000</v>
      </c>
      <c r="O15" s="1">
        <f t="shared" si="3"/>
        <v>15000</v>
      </c>
      <c r="P15" s="1">
        <f t="shared" si="3"/>
        <v>15000</v>
      </c>
      <c r="Q15" s="1">
        <f t="shared" si="0"/>
        <v>180000</v>
      </c>
      <c r="R15" s="1"/>
      <c r="S15" s="1"/>
      <c r="T15" s="1"/>
    </row>
    <row r="16" spans="1:21">
      <c r="A16" t="s">
        <v>168</v>
      </c>
      <c r="B16" t="s">
        <v>170</v>
      </c>
      <c r="E16" s="26">
        <f>('Unit cost and price'!D9+'Unit cost and price'!D10)*2/1000</f>
        <v>4875</v>
      </c>
      <c r="F16" s="1">
        <f t="shared" si="3"/>
        <v>4875</v>
      </c>
      <c r="G16" s="1">
        <f t="shared" si="3"/>
        <v>4875</v>
      </c>
      <c r="H16" s="1">
        <f t="shared" si="3"/>
        <v>4875</v>
      </c>
      <c r="I16" s="1">
        <f t="shared" si="3"/>
        <v>4875</v>
      </c>
      <c r="J16" s="1">
        <f t="shared" si="3"/>
        <v>4875</v>
      </c>
      <c r="K16" s="1">
        <f t="shared" si="3"/>
        <v>4875</v>
      </c>
      <c r="L16" s="1">
        <f t="shared" si="3"/>
        <v>4875</v>
      </c>
      <c r="M16" s="1">
        <f t="shared" si="3"/>
        <v>4875</v>
      </c>
      <c r="N16" s="1">
        <f t="shared" si="3"/>
        <v>4875</v>
      </c>
      <c r="O16" s="1">
        <f t="shared" si="3"/>
        <v>4875</v>
      </c>
      <c r="P16" s="1">
        <f t="shared" si="3"/>
        <v>4875</v>
      </c>
      <c r="Q16" s="1">
        <f t="shared" si="0"/>
        <v>58500</v>
      </c>
      <c r="R16" s="1"/>
      <c r="S16" s="1"/>
      <c r="T16" s="1"/>
    </row>
    <row r="17" spans="1:20">
      <c r="A17" t="s">
        <v>169</v>
      </c>
      <c r="B17" t="s">
        <v>32</v>
      </c>
      <c r="E17" s="1">
        <f>'Unit cost and price'!D11*2/1000</f>
        <v>2500</v>
      </c>
      <c r="F17" s="1">
        <f t="shared" si="3"/>
        <v>2500</v>
      </c>
      <c r="G17" s="1">
        <f t="shared" si="3"/>
        <v>2500</v>
      </c>
      <c r="H17" s="1">
        <f t="shared" si="3"/>
        <v>2500</v>
      </c>
      <c r="I17" s="1">
        <f t="shared" si="3"/>
        <v>2500</v>
      </c>
      <c r="J17" s="1">
        <f t="shared" si="3"/>
        <v>2500</v>
      </c>
      <c r="K17" s="1">
        <f t="shared" si="3"/>
        <v>2500</v>
      </c>
      <c r="L17" s="1">
        <f t="shared" si="3"/>
        <v>2500</v>
      </c>
      <c r="M17" s="1">
        <f t="shared" si="3"/>
        <v>2500</v>
      </c>
      <c r="N17" s="1">
        <f t="shared" si="3"/>
        <v>2500</v>
      </c>
      <c r="O17" s="1">
        <f t="shared" si="3"/>
        <v>2500</v>
      </c>
      <c r="P17" s="1">
        <f t="shared" si="3"/>
        <v>2500</v>
      </c>
      <c r="Q17" s="1">
        <f t="shared" si="0"/>
        <v>30000</v>
      </c>
      <c r="R17" s="1"/>
      <c r="S17" s="1"/>
      <c r="T17" s="1"/>
    </row>
    <row r="18" spans="1:20">
      <c r="A18" t="s">
        <v>177</v>
      </c>
      <c r="E18" s="26">
        <f>Interest!$H$5</f>
        <v>10900</v>
      </c>
      <c r="F18" s="26">
        <f>Interest!$H$5</f>
        <v>10900</v>
      </c>
      <c r="G18" s="26">
        <f>Interest!$H$5</f>
        <v>10900</v>
      </c>
      <c r="H18" s="26">
        <f>Interest!$H$5</f>
        <v>10900</v>
      </c>
      <c r="I18" s="26">
        <f>Interest!$H$5</f>
        <v>10900</v>
      </c>
      <c r="J18" s="26">
        <f>Interest!$H$5</f>
        <v>10900</v>
      </c>
      <c r="K18" s="26">
        <f>Interest!$H$5</f>
        <v>10900</v>
      </c>
      <c r="L18" s="26">
        <f>Interest!$H$5</f>
        <v>10900</v>
      </c>
      <c r="M18" s="26">
        <f>Interest!$H$5</f>
        <v>10900</v>
      </c>
      <c r="N18" s="26">
        <f>Interest!$H$5</f>
        <v>10900</v>
      </c>
      <c r="O18" s="26">
        <f>Interest!$H$5</f>
        <v>10900</v>
      </c>
      <c r="P18" s="26">
        <f>Interest!$H$5</f>
        <v>10900</v>
      </c>
      <c r="Q18" s="26">
        <f t="shared" si="0"/>
        <v>130800</v>
      </c>
      <c r="R18" s="1"/>
      <c r="S18" s="1"/>
      <c r="T18" s="1"/>
    </row>
    <row r="19" spans="1:20">
      <c r="A19" s="4" t="s">
        <v>330</v>
      </c>
      <c r="B19" s="4"/>
      <c r="C19" s="4"/>
      <c r="D19" s="4"/>
      <c r="E19" s="68">
        <f t="shared" ref="E19:P19" si="4">SUM(E10:E18)</f>
        <v>830275</v>
      </c>
      <c r="F19" s="68">
        <f t="shared" si="4"/>
        <v>830275</v>
      </c>
      <c r="G19" s="68">
        <f t="shared" si="4"/>
        <v>830275</v>
      </c>
      <c r="H19" s="68">
        <f t="shared" si="4"/>
        <v>830275</v>
      </c>
      <c r="I19" s="68">
        <f t="shared" si="4"/>
        <v>830275</v>
      </c>
      <c r="J19" s="68">
        <f t="shared" si="4"/>
        <v>830275</v>
      </c>
      <c r="K19" s="68">
        <f t="shared" si="4"/>
        <v>830275</v>
      </c>
      <c r="L19" s="68">
        <f t="shared" si="4"/>
        <v>830275</v>
      </c>
      <c r="M19" s="68">
        <f t="shared" si="4"/>
        <v>830275</v>
      </c>
      <c r="N19" s="68">
        <f t="shared" si="4"/>
        <v>830275</v>
      </c>
      <c r="O19" s="68">
        <f t="shared" si="4"/>
        <v>830275</v>
      </c>
      <c r="P19" s="68">
        <f t="shared" si="4"/>
        <v>830275</v>
      </c>
      <c r="Q19" s="68">
        <f t="shared" si="0"/>
        <v>9963300</v>
      </c>
      <c r="R19" s="1"/>
      <c r="S19" s="1"/>
      <c r="T19" s="1"/>
    </row>
    <row r="20" spans="1:20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>
      <c r="A21" s="4" t="s">
        <v>338</v>
      </c>
      <c r="B21" s="4"/>
      <c r="C21" s="4"/>
      <c r="D21" s="4"/>
      <c r="E21" s="2">
        <f>E7-E19</f>
        <v>145775</v>
      </c>
      <c r="F21" s="2">
        <f t="shared" ref="F21:P21" si="5">F7-F19</f>
        <v>145775</v>
      </c>
      <c r="G21" s="2">
        <f t="shared" si="5"/>
        <v>145775</v>
      </c>
      <c r="H21" s="2">
        <f t="shared" si="5"/>
        <v>145775</v>
      </c>
      <c r="I21" s="2">
        <f t="shared" si="5"/>
        <v>145775</v>
      </c>
      <c r="J21" s="2">
        <f t="shared" si="5"/>
        <v>145775</v>
      </c>
      <c r="K21" s="2">
        <f t="shared" si="5"/>
        <v>145775</v>
      </c>
      <c r="L21" s="2">
        <f t="shared" si="5"/>
        <v>145775</v>
      </c>
      <c r="M21" s="2">
        <f t="shared" si="5"/>
        <v>145775</v>
      </c>
      <c r="N21" s="2">
        <f t="shared" si="5"/>
        <v>145775</v>
      </c>
      <c r="O21" s="2">
        <f t="shared" si="5"/>
        <v>145775</v>
      </c>
      <c r="P21" s="2">
        <f t="shared" si="5"/>
        <v>145775</v>
      </c>
      <c r="Q21" s="2">
        <f>SUM(E21:P21)</f>
        <v>1749300</v>
      </c>
      <c r="R21" s="1"/>
      <c r="S21" s="1"/>
      <c r="T21" s="1"/>
    </row>
    <row r="22" spans="1:20">
      <c r="A22" t="s">
        <v>39</v>
      </c>
      <c r="E22" s="1">
        <f>E21*0.3</f>
        <v>43732.5</v>
      </c>
      <c r="F22" s="1">
        <f t="shared" ref="F22:Q22" si="6">F21*0.3</f>
        <v>43732.5</v>
      </c>
      <c r="G22" s="1">
        <f t="shared" si="6"/>
        <v>43732.5</v>
      </c>
      <c r="H22" s="1">
        <f t="shared" si="6"/>
        <v>43732.5</v>
      </c>
      <c r="I22" s="1">
        <f t="shared" si="6"/>
        <v>43732.5</v>
      </c>
      <c r="J22" s="1">
        <f t="shared" si="6"/>
        <v>43732.5</v>
      </c>
      <c r="K22" s="1">
        <f t="shared" si="6"/>
        <v>43732.5</v>
      </c>
      <c r="L22" s="1">
        <f t="shared" si="6"/>
        <v>43732.5</v>
      </c>
      <c r="M22" s="1">
        <f t="shared" si="6"/>
        <v>43732.5</v>
      </c>
      <c r="N22" s="1">
        <f t="shared" si="6"/>
        <v>43732.5</v>
      </c>
      <c r="O22" s="1">
        <f t="shared" si="6"/>
        <v>43732.5</v>
      </c>
      <c r="P22" s="1">
        <f t="shared" si="6"/>
        <v>43732.5</v>
      </c>
      <c r="Q22" s="1">
        <f t="shared" si="6"/>
        <v>524790</v>
      </c>
      <c r="R22" s="1"/>
      <c r="S22" s="1"/>
      <c r="T22" s="1"/>
    </row>
    <row r="23" spans="1:20" ht="15" thickBot="1">
      <c r="A23" s="4" t="s">
        <v>208</v>
      </c>
      <c r="E23" s="49">
        <f>E21-E22</f>
        <v>102042.5</v>
      </c>
      <c r="F23" s="49">
        <f t="shared" ref="F23:Q23" si="7">F21-F22</f>
        <v>102042.5</v>
      </c>
      <c r="G23" s="49">
        <f t="shared" si="7"/>
        <v>102042.5</v>
      </c>
      <c r="H23" s="49">
        <f t="shared" si="7"/>
        <v>102042.5</v>
      </c>
      <c r="I23" s="49">
        <f t="shared" si="7"/>
        <v>102042.5</v>
      </c>
      <c r="J23" s="49">
        <f t="shared" si="7"/>
        <v>102042.5</v>
      </c>
      <c r="K23" s="49">
        <f t="shared" si="7"/>
        <v>102042.5</v>
      </c>
      <c r="L23" s="49">
        <f t="shared" si="7"/>
        <v>102042.5</v>
      </c>
      <c r="M23" s="49">
        <f t="shared" si="7"/>
        <v>102042.5</v>
      </c>
      <c r="N23" s="49">
        <f t="shared" si="7"/>
        <v>102042.5</v>
      </c>
      <c r="O23" s="49">
        <f t="shared" si="7"/>
        <v>102042.5</v>
      </c>
      <c r="P23" s="49">
        <f t="shared" si="7"/>
        <v>102042.5</v>
      </c>
      <c r="Q23" s="49">
        <f t="shared" si="7"/>
        <v>1224510</v>
      </c>
      <c r="R23" s="1"/>
      <c r="S23" s="1"/>
      <c r="T23" s="1"/>
    </row>
    <row r="24" spans="1:20" ht="15" thickTop="1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>
      <c r="A25" s="4" t="s">
        <v>210</v>
      </c>
      <c r="B25" t="s">
        <v>209</v>
      </c>
      <c r="C25" s="21">
        <f>Q23*100/'Capital forecast'!E20</f>
        <v>34.014166666666668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D27" s="1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1">
    <mergeCell ref="E1:Q1"/>
  </mergeCell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R31"/>
  <sheetViews>
    <sheetView topLeftCell="D13" workbookViewId="0">
      <selection activeCell="M35" sqref="M35"/>
    </sheetView>
  </sheetViews>
  <sheetFormatPr baseColWidth="10" defaultColWidth="8.83203125" defaultRowHeight="14"/>
  <cols>
    <col min="1" max="1" width="27.5" customWidth="1"/>
    <col min="2" max="2" width="27.6640625" customWidth="1"/>
    <col min="3" max="3" width="1" customWidth="1"/>
    <col min="4" max="4" width="10.1640625" customWidth="1"/>
    <col min="5" max="5" width="11.5" customWidth="1"/>
    <col min="6" max="6" width="12.1640625" customWidth="1"/>
    <col min="7" max="7" width="12" customWidth="1"/>
    <col min="8" max="8" width="11.5" customWidth="1"/>
    <col min="9" max="9" width="11.6640625" customWidth="1"/>
    <col min="10" max="10" width="11.83203125" customWidth="1"/>
    <col min="11" max="11" width="12.1640625" customWidth="1"/>
    <col min="12" max="12" width="11.6640625" customWidth="1"/>
    <col min="13" max="13" width="12" customWidth="1"/>
    <col min="14" max="14" width="12.6640625" customWidth="1"/>
    <col min="15" max="15" width="12.83203125" customWidth="1"/>
    <col min="16" max="16" width="12.33203125" customWidth="1"/>
    <col min="17" max="17" width="12.5" customWidth="1"/>
  </cols>
  <sheetData>
    <row r="1" spans="1:18">
      <c r="A1" t="s">
        <v>304</v>
      </c>
      <c r="E1" s="123" t="s">
        <v>77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3" spans="1:18" s="45" customFormat="1">
      <c r="A3" s="45" t="s">
        <v>173</v>
      </c>
      <c r="B3" s="45" t="s">
        <v>174</v>
      </c>
      <c r="E3" s="45" t="s">
        <v>305</v>
      </c>
      <c r="F3" s="45" t="s">
        <v>306</v>
      </c>
      <c r="G3" s="45" t="s">
        <v>307</v>
      </c>
      <c r="H3" s="45" t="s">
        <v>308</v>
      </c>
      <c r="I3" s="45" t="s">
        <v>309</v>
      </c>
      <c r="J3" s="45" t="s">
        <v>310</v>
      </c>
      <c r="K3" s="45" t="s">
        <v>311</v>
      </c>
      <c r="L3" s="45" t="s">
        <v>312</v>
      </c>
      <c r="M3" s="45" t="s">
        <v>313</v>
      </c>
      <c r="N3" s="45" t="s">
        <v>43</v>
      </c>
      <c r="O3" s="45" t="s">
        <v>315</v>
      </c>
      <c r="P3" s="45" t="s">
        <v>316</v>
      </c>
      <c r="Q3" s="45" t="s">
        <v>196</v>
      </c>
    </row>
    <row r="4" spans="1:18" hidden="1">
      <c r="A4" t="s">
        <v>317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f>SUM(E4:P4)</f>
        <v>24</v>
      </c>
      <c r="R4" s="1"/>
    </row>
    <row r="5" spans="1:18" hidden="1">
      <c r="A5" t="s">
        <v>318</v>
      </c>
      <c r="E5" s="1"/>
      <c r="F5" s="1">
        <v>4</v>
      </c>
      <c r="G5" s="1"/>
      <c r="H5" s="1">
        <v>4</v>
      </c>
      <c r="I5" s="1"/>
      <c r="J5" s="1">
        <v>4</v>
      </c>
      <c r="K5" s="1"/>
      <c r="L5" s="1">
        <v>4</v>
      </c>
      <c r="M5" s="1"/>
      <c r="N5" s="1">
        <v>4</v>
      </c>
      <c r="O5" s="1"/>
      <c r="P5" s="1">
        <v>4</v>
      </c>
      <c r="Q5" s="1">
        <f>SUM(E5:P5)</f>
        <v>24</v>
      </c>
      <c r="R5" s="1"/>
    </row>
    <row r="6" spans="1:18" hidden="1">
      <c r="A6" t="s">
        <v>165</v>
      </c>
      <c r="E6" s="46"/>
      <c r="F6" s="46">
        <v>450000</v>
      </c>
      <c r="G6" s="46"/>
      <c r="H6" s="46">
        <f>F6</f>
        <v>450000</v>
      </c>
      <c r="I6" s="46"/>
      <c r="J6" s="46">
        <f>H6</f>
        <v>450000</v>
      </c>
      <c r="K6" s="46"/>
      <c r="L6" s="46">
        <f>J6</f>
        <v>450000</v>
      </c>
      <c r="M6" s="46"/>
      <c r="N6" s="46">
        <f>L6</f>
        <v>450000</v>
      </c>
      <c r="O6" s="46"/>
      <c r="P6" s="46">
        <f>N6</f>
        <v>450000</v>
      </c>
      <c r="Q6" s="46"/>
      <c r="R6" s="1"/>
    </row>
    <row r="7" spans="1:18">
      <c r="A7" t="s">
        <v>179</v>
      </c>
      <c r="B7" s="19"/>
      <c r="C7" s="19"/>
      <c r="D7" s="19"/>
      <c r="E7" s="8">
        <f>E4*E6</f>
        <v>0</v>
      </c>
      <c r="H7" s="8">
        <f>'Year 1 IS Projection'!E7+'Year 1 IS Projection'!F7</f>
        <v>1800000</v>
      </c>
      <c r="J7" s="8">
        <f>'Year 1 IS Projection'!G7+'Year 1 IS Projection'!H7</f>
        <v>1800000</v>
      </c>
      <c r="L7" s="8">
        <f>'Year 1 IS Projection'!I7+'Year 1 IS Projection'!J7</f>
        <v>1800000</v>
      </c>
      <c r="N7" s="8">
        <f>'Year 1 IS Projection'!K7+'Year 1 IS Projection'!L7</f>
        <v>1800000</v>
      </c>
      <c r="P7" s="8">
        <f>'Year 1 IS Projection'!M7+'Year 1 IS Projection'!N7</f>
        <v>1800000</v>
      </c>
      <c r="Q7" s="8">
        <f>SUM(E7:P7)</f>
        <v>9000000</v>
      </c>
      <c r="R7" s="1"/>
    </row>
    <row r="8" spans="1:18">
      <c r="A8" t="s">
        <v>282</v>
      </c>
      <c r="E8" s="2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ref="Q8:Q24" si="0">SUM(E8:P8)</f>
        <v>0</v>
      </c>
      <c r="R8" s="1"/>
    </row>
    <row r="9" spans="1:18">
      <c r="A9" t="s">
        <v>180</v>
      </c>
      <c r="E9" s="2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0</v>
      </c>
      <c r="R9" s="1"/>
    </row>
    <row r="10" spans="1:18">
      <c r="A10" s="18" t="s">
        <v>21</v>
      </c>
      <c r="B10" s="18"/>
      <c r="C10" s="18"/>
      <c r="D10" s="18"/>
      <c r="E10" s="74">
        <f>SUM(E7:E9)</f>
        <v>0</v>
      </c>
      <c r="F10" s="74">
        <f>SUM(F7:F9)</f>
        <v>0</v>
      </c>
      <c r="G10" s="74">
        <f>SUM(G7:G9)</f>
        <v>0</v>
      </c>
      <c r="H10" s="74">
        <f>SUM(H7:H9)</f>
        <v>1800000</v>
      </c>
      <c r="I10" s="74">
        <f t="shared" ref="I10:N10" si="1">SUM(I7:I9)</f>
        <v>0</v>
      </c>
      <c r="J10" s="74">
        <f t="shared" si="1"/>
        <v>1800000</v>
      </c>
      <c r="K10" s="74">
        <f t="shared" si="1"/>
        <v>0</v>
      </c>
      <c r="L10" s="74">
        <f t="shared" si="1"/>
        <v>1800000</v>
      </c>
      <c r="M10" s="74">
        <f t="shared" si="1"/>
        <v>0</v>
      </c>
      <c r="N10" s="74">
        <f t="shared" si="1"/>
        <v>1800000</v>
      </c>
      <c r="O10" s="74">
        <f t="shared" ref="O10" si="2">SUM(O7:O9)</f>
        <v>0</v>
      </c>
      <c r="P10" s="74">
        <f t="shared" ref="P10" si="3">SUM(P7:P9)</f>
        <v>1800000</v>
      </c>
      <c r="Q10" s="74">
        <f>SUM(E10:P10)</f>
        <v>9000000</v>
      </c>
      <c r="R10" s="1"/>
    </row>
    <row r="11" spans="1:18">
      <c r="A11" t="s">
        <v>22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t="s">
        <v>33</v>
      </c>
      <c r="E12" s="26">
        <f>'Capital forecast'!E6</f>
        <v>500000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f t="shared" si="0"/>
        <v>500000</v>
      </c>
      <c r="R12" s="1"/>
    </row>
    <row r="13" spans="1:18">
      <c r="A13" t="s">
        <v>34</v>
      </c>
      <c r="E13" s="26">
        <f>'Capital forecast'!E7+'Capital forecast'!E8</f>
        <v>520000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 t="shared" si="0"/>
        <v>520000</v>
      </c>
      <c r="R13" s="1"/>
    </row>
    <row r="14" spans="1:18">
      <c r="A14" t="s">
        <v>100</v>
      </c>
      <c r="D14" s="20"/>
      <c r="E14" s="1">
        <f>'Capital forecast'!E12</f>
        <v>90000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 t="shared" si="0"/>
        <v>90000</v>
      </c>
      <c r="R14" s="1"/>
    </row>
    <row r="15" spans="1:18">
      <c r="A15" t="s">
        <v>99</v>
      </c>
      <c r="B15" t="s">
        <v>172</v>
      </c>
      <c r="E15" s="1">
        <f>'Unit cost and price'!D3*2/1000</f>
        <v>384000</v>
      </c>
      <c r="F15" s="1">
        <f>E15</f>
        <v>384000</v>
      </c>
      <c r="G15" s="1">
        <f>F15</f>
        <v>384000</v>
      </c>
      <c r="H15" s="1">
        <f t="shared" ref="H15:P15" si="4">G15</f>
        <v>384000</v>
      </c>
      <c r="I15" s="1">
        <f>H15</f>
        <v>384000</v>
      </c>
      <c r="J15" s="1">
        <f t="shared" si="4"/>
        <v>384000</v>
      </c>
      <c r="K15" s="1">
        <f t="shared" si="4"/>
        <v>384000</v>
      </c>
      <c r="L15" s="1">
        <f t="shared" si="4"/>
        <v>384000</v>
      </c>
      <c r="M15" s="1">
        <f t="shared" si="4"/>
        <v>384000</v>
      </c>
      <c r="N15" s="1">
        <f t="shared" si="4"/>
        <v>384000</v>
      </c>
      <c r="O15" s="1">
        <f t="shared" si="4"/>
        <v>384000</v>
      </c>
      <c r="P15" s="1">
        <f t="shared" si="4"/>
        <v>384000</v>
      </c>
      <c r="Q15" s="1">
        <f>SUM(E15:P15)</f>
        <v>4608000</v>
      </c>
      <c r="R15" s="1"/>
    </row>
    <row r="16" spans="1:18">
      <c r="A16" t="s">
        <v>292</v>
      </c>
      <c r="B16" t="s">
        <v>157</v>
      </c>
      <c r="E16" s="1">
        <f>'Unit cost and price'!D4*2/1000</f>
        <v>120000</v>
      </c>
      <c r="F16" s="1">
        <f t="shared" ref="F16:P21" si="5">E16</f>
        <v>120000</v>
      </c>
      <c r="G16" s="1">
        <f t="shared" si="5"/>
        <v>120000</v>
      </c>
      <c r="H16" s="1">
        <f t="shared" si="5"/>
        <v>120000</v>
      </c>
      <c r="I16" s="1">
        <f t="shared" si="5"/>
        <v>120000</v>
      </c>
      <c r="J16" s="1">
        <f t="shared" si="5"/>
        <v>120000</v>
      </c>
      <c r="K16" s="1">
        <f t="shared" si="5"/>
        <v>120000</v>
      </c>
      <c r="L16" s="1">
        <f t="shared" si="5"/>
        <v>120000</v>
      </c>
      <c r="M16" s="1">
        <f t="shared" si="5"/>
        <v>120000</v>
      </c>
      <c r="N16" s="1">
        <f t="shared" si="5"/>
        <v>120000</v>
      </c>
      <c r="O16" s="1">
        <f t="shared" si="5"/>
        <v>120000</v>
      </c>
      <c r="P16" s="1">
        <f t="shared" si="5"/>
        <v>120000</v>
      </c>
      <c r="Q16" s="1">
        <f t="shared" si="0"/>
        <v>1440000</v>
      </c>
      <c r="R16" s="1"/>
    </row>
    <row r="17" spans="1:18">
      <c r="A17" t="s">
        <v>102</v>
      </c>
      <c r="B17" t="s">
        <v>158</v>
      </c>
      <c r="E17" s="26">
        <f>'Unit cost and price'!D5*2/1000</f>
        <v>24000</v>
      </c>
      <c r="F17" s="1">
        <f t="shared" si="5"/>
        <v>24000</v>
      </c>
      <c r="G17" s="1">
        <f t="shared" si="5"/>
        <v>24000</v>
      </c>
      <c r="H17" s="1">
        <f t="shared" si="5"/>
        <v>24000</v>
      </c>
      <c r="I17" s="1">
        <f t="shared" si="5"/>
        <v>24000</v>
      </c>
      <c r="J17" s="1">
        <f t="shared" si="5"/>
        <v>24000</v>
      </c>
      <c r="K17" s="1">
        <f t="shared" si="5"/>
        <v>24000</v>
      </c>
      <c r="L17" s="1">
        <f t="shared" si="5"/>
        <v>24000</v>
      </c>
      <c r="M17" s="1">
        <f t="shared" si="5"/>
        <v>24000</v>
      </c>
      <c r="N17" s="1">
        <f t="shared" si="5"/>
        <v>24000</v>
      </c>
      <c r="O17" s="1">
        <f t="shared" si="5"/>
        <v>24000</v>
      </c>
      <c r="P17" s="1">
        <f t="shared" si="5"/>
        <v>24000</v>
      </c>
      <c r="Q17" s="1">
        <f t="shared" si="0"/>
        <v>288000</v>
      </c>
      <c r="R17" s="1"/>
    </row>
    <row r="18" spans="1:18">
      <c r="A18" t="s">
        <v>192</v>
      </c>
      <c r="B18" t="s">
        <v>156</v>
      </c>
      <c r="E18" s="1">
        <f>'Unit cost and price'!D6*2/1000</f>
        <v>63000</v>
      </c>
      <c r="F18" s="1">
        <f t="shared" si="5"/>
        <v>63000</v>
      </c>
      <c r="G18" s="1">
        <f t="shared" si="5"/>
        <v>63000</v>
      </c>
      <c r="H18" s="1">
        <f t="shared" si="5"/>
        <v>63000</v>
      </c>
      <c r="I18" s="1">
        <f t="shared" si="5"/>
        <v>63000</v>
      </c>
      <c r="J18" s="1">
        <f t="shared" si="5"/>
        <v>63000</v>
      </c>
      <c r="K18" s="1">
        <f t="shared" si="5"/>
        <v>63000</v>
      </c>
      <c r="L18" s="1">
        <f t="shared" si="5"/>
        <v>63000</v>
      </c>
      <c r="M18" s="1">
        <f t="shared" si="5"/>
        <v>63000</v>
      </c>
      <c r="N18" s="1">
        <f t="shared" si="5"/>
        <v>63000</v>
      </c>
      <c r="O18" s="1">
        <f t="shared" si="5"/>
        <v>63000</v>
      </c>
      <c r="P18" s="1">
        <f t="shared" si="5"/>
        <v>63000</v>
      </c>
      <c r="Q18" s="1">
        <f t="shared" si="0"/>
        <v>756000</v>
      </c>
      <c r="R18" s="1"/>
    </row>
    <row r="19" spans="1:18">
      <c r="A19" t="s">
        <v>200</v>
      </c>
      <c r="B19" t="s">
        <v>164</v>
      </c>
      <c r="E19" s="1">
        <f>'Unit cost and price'!D7*2/1000</f>
        <v>200000</v>
      </c>
      <c r="F19" s="1">
        <f t="shared" si="5"/>
        <v>200000</v>
      </c>
      <c r="G19" s="1">
        <f t="shared" si="5"/>
        <v>200000</v>
      </c>
      <c r="H19" s="1">
        <f t="shared" si="5"/>
        <v>200000</v>
      </c>
      <c r="I19" s="1">
        <f t="shared" si="5"/>
        <v>200000</v>
      </c>
      <c r="J19" s="1">
        <f t="shared" si="5"/>
        <v>200000</v>
      </c>
      <c r="K19" s="1">
        <f t="shared" si="5"/>
        <v>200000</v>
      </c>
      <c r="L19" s="1">
        <f t="shared" si="5"/>
        <v>200000</v>
      </c>
      <c r="M19" s="1">
        <f t="shared" si="5"/>
        <v>200000</v>
      </c>
      <c r="N19" s="1">
        <f t="shared" si="5"/>
        <v>200000</v>
      </c>
      <c r="O19" s="1">
        <f t="shared" si="5"/>
        <v>200000</v>
      </c>
      <c r="P19" s="1">
        <f t="shared" si="5"/>
        <v>200000</v>
      </c>
      <c r="Q19" s="1">
        <f t="shared" si="0"/>
        <v>2400000</v>
      </c>
      <c r="R19" s="1"/>
    </row>
    <row r="20" spans="1:18">
      <c r="A20" t="s">
        <v>117</v>
      </c>
      <c r="B20" t="s">
        <v>159</v>
      </c>
      <c r="E20" s="1">
        <f>'Unit cost and price'!D8/1000</f>
        <v>7500</v>
      </c>
      <c r="F20" s="1">
        <f t="shared" si="5"/>
        <v>7500</v>
      </c>
      <c r="G20" s="1">
        <f t="shared" si="5"/>
        <v>7500</v>
      </c>
      <c r="H20" s="1">
        <f t="shared" si="5"/>
        <v>7500</v>
      </c>
      <c r="I20" s="1">
        <f t="shared" si="5"/>
        <v>7500</v>
      </c>
      <c r="J20" s="1">
        <f t="shared" si="5"/>
        <v>7500</v>
      </c>
      <c r="K20" s="1">
        <f t="shared" si="5"/>
        <v>7500</v>
      </c>
      <c r="L20" s="1">
        <f t="shared" si="5"/>
        <v>7500</v>
      </c>
      <c r="M20" s="1">
        <f t="shared" si="5"/>
        <v>7500</v>
      </c>
      <c r="N20" s="1">
        <f t="shared" si="5"/>
        <v>7500</v>
      </c>
      <c r="O20" s="1">
        <f t="shared" si="5"/>
        <v>7500</v>
      </c>
      <c r="P20" s="1">
        <f t="shared" si="5"/>
        <v>7500</v>
      </c>
      <c r="Q20" s="1">
        <f t="shared" si="0"/>
        <v>90000</v>
      </c>
      <c r="R20" s="1"/>
    </row>
    <row r="21" spans="1:18">
      <c r="A21" t="s">
        <v>35</v>
      </c>
      <c r="B21" t="s">
        <v>36</v>
      </c>
      <c r="E21" s="26">
        <v>10000</v>
      </c>
      <c r="F21" s="1">
        <f t="shared" ref="F21" si="6">E21</f>
        <v>10000</v>
      </c>
      <c r="G21" s="1">
        <f t="shared" ref="G21" si="7">F21</f>
        <v>10000</v>
      </c>
      <c r="H21" s="1">
        <f t="shared" si="5"/>
        <v>10000</v>
      </c>
      <c r="I21" s="1">
        <f t="shared" si="5"/>
        <v>10000</v>
      </c>
      <c r="J21" s="1">
        <f t="shared" si="5"/>
        <v>10000</v>
      </c>
      <c r="K21" s="1">
        <f t="shared" si="5"/>
        <v>10000</v>
      </c>
      <c r="L21" s="1">
        <f t="shared" si="5"/>
        <v>10000</v>
      </c>
      <c r="M21" s="1">
        <f t="shared" si="5"/>
        <v>10000</v>
      </c>
      <c r="N21" s="1">
        <f t="shared" si="5"/>
        <v>10000</v>
      </c>
      <c r="O21" s="1">
        <f t="shared" si="5"/>
        <v>10000</v>
      </c>
      <c r="P21" s="1">
        <f t="shared" si="5"/>
        <v>10000</v>
      </c>
      <c r="Q21" s="1">
        <f t="shared" si="0"/>
        <v>120000</v>
      </c>
      <c r="R21" s="1"/>
    </row>
    <row r="22" spans="1:18">
      <c r="A22" t="s">
        <v>168</v>
      </c>
      <c r="B22" t="s">
        <v>170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 t="shared" si="0"/>
        <v>0</v>
      </c>
      <c r="R22" s="1"/>
    </row>
    <row r="23" spans="1:18">
      <c r="A23" t="s">
        <v>169</v>
      </c>
      <c r="B23" t="s">
        <v>171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 t="shared" si="0"/>
        <v>0</v>
      </c>
      <c r="R23" s="1"/>
    </row>
    <row r="24" spans="1:18">
      <c r="A24" t="s">
        <v>5</v>
      </c>
      <c r="E24" s="26">
        <f>Interest!$H$5+Interest!$D$3</f>
        <v>26900</v>
      </c>
      <c r="F24" s="26">
        <f>Interest!$H$5+Interest!$D$3</f>
        <v>26900</v>
      </c>
      <c r="G24" s="26">
        <f>Interest!$H$5+Interest!$D$3</f>
        <v>26900</v>
      </c>
      <c r="H24" s="26">
        <f>Interest!$H$5+Interest!$D$3</f>
        <v>26900</v>
      </c>
      <c r="I24" s="26">
        <f>Interest!$H$5+Interest!$D$3</f>
        <v>26900</v>
      </c>
      <c r="J24" s="26">
        <f>Interest!$H$5+Interest!$D$3</f>
        <v>26900</v>
      </c>
      <c r="K24" s="26">
        <f>Interest!$H$5+Interest!$D$3</f>
        <v>26900</v>
      </c>
      <c r="L24" s="26">
        <f>Interest!$H$5+Interest!$D$3</f>
        <v>26900</v>
      </c>
      <c r="M24" s="26">
        <f>Interest!$H$5+Interest!$D$3</f>
        <v>26900</v>
      </c>
      <c r="N24" s="26">
        <f>Interest!$H$5+Interest!$D$3</f>
        <v>26900</v>
      </c>
      <c r="O24" s="26">
        <f>Interest!$H$5+Interest!$D$3</f>
        <v>26900</v>
      </c>
      <c r="P24" s="26">
        <f>Interest!$H$5+Interest!$D$3</f>
        <v>26900</v>
      </c>
      <c r="Q24" s="1">
        <f t="shared" si="0"/>
        <v>322800</v>
      </c>
      <c r="R24" s="1"/>
    </row>
    <row r="25" spans="1:18">
      <c r="A25" s="4" t="s">
        <v>23</v>
      </c>
      <c r="B25" s="4"/>
      <c r="C25" s="4"/>
      <c r="D25" s="4"/>
      <c r="E25" s="68">
        <f>SUM(E12:E24)</f>
        <v>1945400</v>
      </c>
      <c r="F25" s="68">
        <f t="shared" ref="F25:Q25" si="8">SUM(F12:F24)</f>
        <v>835400</v>
      </c>
      <c r="G25" s="68">
        <f t="shared" si="8"/>
        <v>835400</v>
      </c>
      <c r="H25" s="68">
        <f t="shared" si="8"/>
        <v>835400</v>
      </c>
      <c r="I25" s="68">
        <f t="shared" si="8"/>
        <v>835400</v>
      </c>
      <c r="J25" s="68">
        <f t="shared" si="8"/>
        <v>835400</v>
      </c>
      <c r="K25" s="68">
        <f t="shared" si="8"/>
        <v>835400</v>
      </c>
      <c r="L25" s="68">
        <f t="shared" si="8"/>
        <v>835400</v>
      </c>
      <c r="M25" s="68">
        <f t="shared" si="8"/>
        <v>835400</v>
      </c>
      <c r="N25" s="68">
        <f t="shared" si="8"/>
        <v>835400</v>
      </c>
      <c r="O25" s="68">
        <f t="shared" si="8"/>
        <v>835400</v>
      </c>
      <c r="P25" s="68">
        <f t="shared" si="8"/>
        <v>835400</v>
      </c>
      <c r="Q25" s="68">
        <f t="shared" si="8"/>
        <v>11134800</v>
      </c>
      <c r="R25" s="1"/>
    </row>
    <row r="26" spans="1:18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4" t="s">
        <v>24</v>
      </c>
      <c r="B27" s="4"/>
      <c r="C27" s="4"/>
      <c r="D27" s="4"/>
      <c r="E27" s="2">
        <f>E10-E25</f>
        <v>-1945400</v>
      </c>
      <c r="F27" s="2">
        <f>F10-F25</f>
        <v>-835400</v>
      </c>
      <c r="G27" s="2">
        <f>G10-G25</f>
        <v>-835400</v>
      </c>
      <c r="H27" s="2">
        <f t="shared" ref="H27:Q27" si="9">H10-H25</f>
        <v>964600</v>
      </c>
      <c r="I27" s="2">
        <f t="shared" si="9"/>
        <v>-835400</v>
      </c>
      <c r="J27" s="2">
        <f t="shared" si="9"/>
        <v>964600</v>
      </c>
      <c r="K27" s="2">
        <f t="shared" si="9"/>
        <v>-835400</v>
      </c>
      <c r="L27" s="2">
        <f t="shared" si="9"/>
        <v>964600</v>
      </c>
      <c r="M27" s="2">
        <f t="shared" si="9"/>
        <v>-835400</v>
      </c>
      <c r="N27" s="2">
        <f t="shared" si="9"/>
        <v>964600</v>
      </c>
      <c r="O27" s="2">
        <f t="shared" si="9"/>
        <v>-835400</v>
      </c>
      <c r="P27" s="2">
        <f t="shared" si="9"/>
        <v>964600</v>
      </c>
      <c r="Q27" s="2">
        <f t="shared" si="9"/>
        <v>-2134800</v>
      </c>
      <c r="R27" s="1"/>
    </row>
    <row r="28" spans="1:18">
      <c r="A28" t="s">
        <v>25</v>
      </c>
      <c r="D28" s="27">
        <f>'BS 2006-07'!F13</f>
        <v>-999000</v>
      </c>
      <c r="E28" s="1">
        <f>D28</f>
        <v>-999000</v>
      </c>
      <c r="F28" s="1">
        <f t="shared" ref="F28:P28" si="10">E29</f>
        <v>-2944400</v>
      </c>
      <c r="G28" s="1">
        <f t="shared" si="10"/>
        <v>-3779800</v>
      </c>
      <c r="H28" s="1">
        <f t="shared" si="10"/>
        <v>-4615200</v>
      </c>
      <c r="I28" s="1">
        <f t="shared" si="10"/>
        <v>-3650600</v>
      </c>
      <c r="J28" s="1">
        <f t="shared" si="10"/>
        <v>-4486000</v>
      </c>
      <c r="K28" s="1">
        <f t="shared" si="10"/>
        <v>-3521400</v>
      </c>
      <c r="L28" s="1">
        <f t="shared" si="10"/>
        <v>-4356800</v>
      </c>
      <c r="M28" s="1">
        <f t="shared" si="10"/>
        <v>-3392200</v>
      </c>
      <c r="N28" s="1">
        <f t="shared" si="10"/>
        <v>-4227600</v>
      </c>
      <c r="O28" s="1">
        <f t="shared" si="10"/>
        <v>-3263000</v>
      </c>
      <c r="P28" s="1">
        <f t="shared" si="10"/>
        <v>-4098400</v>
      </c>
      <c r="Q28" s="1">
        <f>E28</f>
        <v>-999000</v>
      </c>
      <c r="R28" s="1"/>
    </row>
    <row r="29" spans="1:18" ht="15" thickBot="1">
      <c r="A29" s="4" t="s">
        <v>26</v>
      </c>
      <c r="E29" s="109">
        <f>E27+E28</f>
        <v>-2944400</v>
      </c>
      <c r="F29" s="109">
        <f t="shared" ref="F29:P29" si="11">F27+F28</f>
        <v>-3779800</v>
      </c>
      <c r="G29" s="109">
        <f t="shared" si="11"/>
        <v>-4615200</v>
      </c>
      <c r="H29" s="109">
        <f t="shared" si="11"/>
        <v>-3650600</v>
      </c>
      <c r="I29" s="109">
        <f t="shared" si="11"/>
        <v>-4486000</v>
      </c>
      <c r="J29" s="109">
        <f t="shared" si="11"/>
        <v>-3521400</v>
      </c>
      <c r="K29" s="109">
        <f t="shared" si="11"/>
        <v>-4356800</v>
      </c>
      <c r="L29" s="109">
        <f t="shared" si="11"/>
        <v>-3392200</v>
      </c>
      <c r="M29" s="109">
        <f t="shared" si="11"/>
        <v>-4227600</v>
      </c>
      <c r="N29" s="109">
        <f t="shared" si="11"/>
        <v>-3263000</v>
      </c>
      <c r="O29" s="109">
        <f t="shared" si="11"/>
        <v>-4098400</v>
      </c>
      <c r="P29" s="109">
        <f t="shared" si="11"/>
        <v>-3133800</v>
      </c>
      <c r="Q29" s="109">
        <f>SUM(Q27:Q28)</f>
        <v>-3133800</v>
      </c>
      <c r="R29" s="1"/>
    </row>
    <row r="30" spans="1:18" ht="15" thickTop="1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6"/>
      <c r="B31" s="1" t="s">
        <v>215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</sheetData>
  <mergeCells count="1">
    <mergeCell ref="E1:Q1"/>
  </mergeCells>
  <phoneticPr fontId="10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R31"/>
  <sheetViews>
    <sheetView topLeftCell="C9" workbookViewId="0">
      <selection activeCell="I30" sqref="I30"/>
    </sheetView>
  </sheetViews>
  <sheetFormatPr baseColWidth="10" defaultColWidth="8.83203125" defaultRowHeight="14"/>
  <cols>
    <col min="1" max="1" width="27.5" customWidth="1"/>
    <col min="2" max="2" width="27.6640625" customWidth="1"/>
    <col min="3" max="3" width="1" customWidth="1"/>
    <col min="4" max="4" width="10.1640625" customWidth="1"/>
    <col min="5" max="5" width="12" customWidth="1"/>
    <col min="6" max="6" width="12.1640625" customWidth="1"/>
    <col min="7" max="7" width="12.5" customWidth="1"/>
    <col min="8" max="8" width="12.1640625" customWidth="1"/>
    <col min="9" max="10" width="12.33203125" customWidth="1"/>
    <col min="11" max="11" width="12.5" customWidth="1"/>
    <col min="12" max="12" width="12" customWidth="1"/>
    <col min="13" max="13" width="11.83203125" customWidth="1"/>
    <col min="14" max="14" width="12.5" customWidth="1"/>
    <col min="15" max="15" width="12.83203125" customWidth="1"/>
    <col min="16" max="17" width="12.1640625" customWidth="1"/>
  </cols>
  <sheetData>
    <row r="1" spans="1:18">
      <c r="A1" t="s">
        <v>304</v>
      </c>
      <c r="E1" s="123" t="s">
        <v>77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3" spans="1:18" s="45" customFormat="1">
      <c r="A3" s="45" t="s">
        <v>173</v>
      </c>
      <c r="B3" s="45" t="s">
        <v>174</v>
      </c>
      <c r="E3" s="45" t="s">
        <v>305</v>
      </c>
      <c r="F3" s="45" t="s">
        <v>306</v>
      </c>
      <c r="G3" s="45" t="s">
        <v>307</v>
      </c>
      <c r="H3" s="45" t="s">
        <v>308</v>
      </c>
      <c r="I3" s="45" t="s">
        <v>309</v>
      </c>
      <c r="J3" s="45" t="s">
        <v>310</v>
      </c>
      <c r="K3" s="45" t="s">
        <v>311</v>
      </c>
      <c r="L3" s="45" t="s">
        <v>312</v>
      </c>
      <c r="M3" s="45" t="s">
        <v>313</v>
      </c>
      <c r="N3" s="45" t="s">
        <v>43</v>
      </c>
      <c r="O3" s="45" t="s">
        <v>315</v>
      </c>
      <c r="P3" s="45" t="s">
        <v>316</v>
      </c>
      <c r="Q3" s="45" t="s">
        <v>196</v>
      </c>
    </row>
    <row r="4" spans="1:18" hidden="1">
      <c r="A4" t="s">
        <v>317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f>SUM(E4:P4)</f>
        <v>24</v>
      </c>
      <c r="R4" s="1"/>
    </row>
    <row r="5" spans="1:18" hidden="1">
      <c r="A5" t="s">
        <v>318</v>
      </c>
      <c r="E5" s="1"/>
      <c r="F5" s="1">
        <v>4</v>
      </c>
      <c r="G5" s="1"/>
      <c r="H5" s="1">
        <v>4</v>
      </c>
      <c r="I5" s="1"/>
      <c r="J5" s="1">
        <v>4</v>
      </c>
      <c r="K5" s="1"/>
      <c r="L5" s="1">
        <v>4</v>
      </c>
      <c r="M5" s="1"/>
      <c r="N5" s="1">
        <v>4</v>
      </c>
      <c r="O5" s="1"/>
      <c r="P5" s="1">
        <v>4</v>
      </c>
      <c r="Q5" s="1">
        <f>SUM(E5:P5)</f>
        <v>24</v>
      </c>
      <c r="R5" s="1"/>
    </row>
    <row r="6" spans="1:18" hidden="1">
      <c r="A6" t="s">
        <v>165</v>
      </c>
      <c r="E6" s="46"/>
      <c r="F6" s="46">
        <v>450000</v>
      </c>
      <c r="G6" s="46"/>
      <c r="H6" s="46">
        <f>F6</f>
        <v>450000</v>
      </c>
      <c r="I6" s="46"/>
      <c r="J6" s="46">
        <f>H6</f>
        <v>450000</v>
      </c>
      <c r="K6" s="46"/>
      <c r="L6" s="46">
        <f>J6</f>
        <v>450000</v>
      </c>
      <c r="M6" s="46"/>
      <c r="N6" s="46">
        <f>L6</f>
        <v>450000</v>
      </c>
      <c r="O6" s="46"/>
      <c r="P6" s="46">
        <f>N6</f>
        <v>450000</v>
      </c>
      <c r="Q6" s="46"/>
      <c r="R6" s="1"/>
    </row>
    <row r="7" spans="1:18">
      <c r="A7" t="s">
        <v>179</v>
      </c>
      <c r="B7" s="19"/>
      <c r="C7" s="19"/>
      <c r="D7" s="19"/>
      <c r="E7" s="8">
        <f>E4*E6</f>
        <v>0</v>
      </c>
      <c r="H7" s="8">
        <f>'Year 1 IS Projection (2)'!E7+'Year 1 IS Projection (2)'!F7</f>
        <v>1952100</v>
      </c>
      <c r="J7" s="8">
        <f>'Year 1 IS Projection (2)'!G7+'Year 1 IS Projection (2)'!H7</f>
        <v>1952100</v>
      </c>
      <c r="L7" s="8">
        <f>'Year 1 IS Projection (2)'!I7+'Year 1 IS Projection (2)'!J7</f>
        <v>1952100</v>
      </c>
      <c r="N7" s="8">
        <f>'Year 1 IS Projection (2)'!K7+'Year 1 IS Projection (2)'!L7</f>
        <v>1952100</v>
      </c>
      <c r="P7" s="8">
        <f>'Year 1 IS Projection (2)'!M7+'Year 1 IS Projection (2)'!N7</f>
        <v>1952100</v>
      </c>
      <c r="Q7" s="8">
        <f>SUM(E7:P7)</f>
        <v>9760500</v>
      </c>
      <c r="R7" s="1"/>
    </row>
    <row r="8" spans="1:18">
      <c r="A8" t="s">
        <v>282</v>
      </c>
      <c r="E8" s="2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ref="Q8:Q24" si="0">SUM(E8:P8)</f>
        <v>0</v>
      </c>
      <c r="R8" s="1"/>
    </row>
    <row r="9" spans="1:18">
      <c r="A9" t="s">
        <v>180</v>
      </c>
      <c r="E9" s="2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0</v>
      </c>
      <c r="R9" s="1"/>
    </row>
    <row r="10" spans="1:18">
      <c r="A10" s="18" t="s">
        <v>21</v>
      </c>
      <c r="B10" s="18"/>
      <c r="C10" s="18"/>
      <c r="D10" s="18"/>
      <c r="E10" s="74">
        <f>SUM(E7:E9)</f>
        <v>0</v>
      </c>
      <c r="F10" s="74">
        <f>SUM(F7:F9)</f>
        <v>0</v>
      </c>
      <c r="G10" s="74">
        <f>SUM(G7:G9)</f>
        <v>0</v>
      </c>
      <c r="H10" s="74">
        <f>SUM(H7:H9)</f>
        <v>1952100</v>
      </c>
      <c r="I10" s="74">
        <f t="shared" ref="I10:P10" si="1">SUM(I7:I9)</f>
        <v>0</v>
      </c>
      <c r="J10" s="74">
        <f t="shared" si="1"/>
        <v>1952100</v>
      </c>
      <c r="K10" s="74">
        <f t="shared" si="1"/>
        <v>0</v>
      </c>
      <c r="L10" s="74">
        <f t="shared" si="1"/>
        <v>1952100</v>
      </c>
      <c r="M10" s="74">
        <f t="shared" si="1"/>
        <v>0</v>
      </c>
      <c r="N10" s="74">
        <f t="shared" si="1"/>
        <v>1952100</v>
      </c>
      <c r="O10" s="74">
        <f t="shared" si="1"/>
        <v>0</v>
      </c>
      <c r="P10" s="74">
        <f t="shared" si="1"/>
        <v>1952100</v>
      </c>
      <c r="Q10" s="74">
        <f>SUM(E10:P10)</f>
        <v>9760500</v>
      </c>
      <c r="R10" s="1"/>
    </row>
    <row r="11" spans="1:18">
      <c r="A11" t="s">
        <v>22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t="s">
        <v>33</v>
      </c>
      <c r="E12" s="26">
        <f>'Capital forecast'!E6</f>
        <v>500000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f t="shared" si="0"/>
        <v>500000</v>
      </c>
      <c r="R12" s="1"/>
    </row>
    <row r="13" spans="1:18">
      <c r="A13" t="s">
        <v>34</v>
      </c>
      <c r="E13" s="26">
        <f>'Capital forecast'!E7+'Capital forecast'!E8</f>
        <v>520000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 t="shared" si="0"/>
        <v>520000</v>
      </c>
      <c r="R13" s="1"/>
    </row>
    <row r="14" spans="1:18">
      <c r="A14" t="s">
        <v>100</v>
      </c>
      <c r="D14" s="20"/>
      <c r="E14" s="1">
        <f>'Capital forecast'!E12</f>
        <v>90000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 t="shared" si="0"/>
        <v>90000</v>
      </c>
      <c r="R14" s="1"/>
    </row>
    <row r="15" spans="1:18">
      <c r="A15" t="s">
        <v>99</v>
      </c>
      <c r="B15" t="s">
        <v>172</v>
      </c>
      <c r="E15" s="1">
        <f>'Unit cost and price'!D3*2/1000</f>
        <v>384000</v>
      </c>
      <c r="F15" s="1">
        <f>E15</f>
        <v>384000</v>
      </c>
      <c r="G15" s="1">
        <f>F15</f>
        <v>384000</v>
      </c>
      <c r="H15" s="1">
        <f t="shared" ref="H15:P15" si="2">G15</f>
        <v>384000</v>
      </c>
      <c r="I15" s="1">
        <f>H15</f>
        <v>384000</v>
      </c>
      <c r="J15" s="1">
        <f t="shared" si="2"/>
        <v>384000</v>
      </c>
      <c r="K15" s="1">
        <f t="shared" si="2"/>
        <v>384000</v>
      </c>
      <c r="L15" s="1">
        <f t="shared" si="2"/>
        <v>384000</v>
      </c>
      <c r="M15" s="1">
        <f t="shared" si="2"/>
        <v>384000</v>
      </c>
      <c r="N15" s="1">
        <f t="shared" si="2"/>
        <v>384000</v>
      </c>
      <c r="O15" s="1">
        <f t="shared" si="2"/>
        <v>384000</v>
      </c>
      <c r="P15" s="1">
        <f t="shared" si="2"/>
        <v>384000</v>
      </c>
      <c r="Q15" s="1">
        <f>SUM(E15:P15)</f>
        <v>4608000</v>
      </c>
      <c r="R15" s="1"/>
    </row>
    <row r="16" spans="1:18">
      <c r="A16" t="s">
        <v>292</v>
      </c>
      <c r="B16" t="s">
        <v>157</v>
      </c>
      <c r="E16" s="1">
        <f>'Unit cost and price'!D4*2/1000</f>
        <v>120000</v>
      </c>
      <c r="F16" s="1">
        <f t="shared" ref="F16:P21" si="3">E16</f>
        <v>120000</v>
      </c>
      <c r="G16" s="1">
        <f t="shared" si="3"/>
        <v>120000</v>
      </c>
      <c r="H16" s="1">
        <f t="shared" si="3"/>
        <v>120000</v>
      </c>
      <c r="I16" s="1">
        <f t="shared" si="3"/>
        <v>120000</v>
      </c>
      <c r="J16" s="1">
        <f t="shared" si="3"/>
        <v>120000</v>
      </c>
      <c r="K16" s="1">
        <f t="shared" si="3"/>
        <v>120000</v>
      </c>
      <c r="L16" s="1">
        <f t="shared" si="3"/>
        <v>120000</v>
      </c>
      <c r="M16" s="1">
        <f t="shared" si="3"/>
        <v>120000</v>
      </c>
      <c r="N16" s="1">
        <f t="shared" si="3"/>
        <v>120000</v>
      </c>
      <c r="O16" s="1">
        <f t="shared" si="3"/>
        <v>120000</v>
      </c>
      <c r="P16" s="1">
        <f t="shared" si="3"/>
        <v>120000</v>
      </c>
      <c r="Q16" s="1">
        <f t="shared" si="0"/>
        <v>1440000</v>
      </c>
      <c r="R16" s="1"/>
    </row>
    <row r="17" spans="1:18">
      <c r="A17" t="s">
        <v>102</v>
      </c>
      <c r="B17" t="s">
        <v>158</v>
      </c>
      <c r="E17" s="26">
        <f>'Unit cost and price'!D5*2/1000</f>
        <v>24000</v>
      </c>
      <c r="F17" s="1">
        <f t="shared" si="3"/>
        <v>24000</v>
      </c>
      <c r="G17" s="1">
        <f t="shared" si="3"/>
        <v>24000</v>
      </c>
      <c r="H17" s="1">
        <f t="shared" si="3"/>
        <v>24000</v>
      </c>
      <c r="I17" s="1">
        <f t="shared" si="3"/>
        <v>24000</v>
      </c>
      <c r="J17" s="1">
        <f t="shared" si="3"/>
        <v>24000</v>
      </c>
      <c r="K17" s="1">
        <f t="shared" si="3"/>
        <v>24000</v>
      </c>
      <c r="L17" s="1">
        <f t="shared" si="3"/>
        <v>24000</v>
      </c>
      <c r="M17" s="1">
        <f t="shared" si="3"/>
        <v>24000</v>
      </c>
      <c r="N17" s="1">
        <f t="shared" si="3"/>
        <v>24000</v>
      </c>
      <c r="O17" s="1">
        <f t="shared" si="3"/>
        <v>24000</v>
      </c>
      <c r="P17" s="1">
        <f t="shared" si="3"/>
        <v>24000</v>
      </c>
      <c r="Q17" s="1">
        <f t="shared" si="0"/>
        <v>288000</v>
      </c>
      <c r="R17" s="1"/>
    </row>
    <row r="18" spans="1:18">
      <c r="A18" t="s">
        <v>192</v>
      </c>
      <c r="B18" t="s">
        <v>156</v>
      </c>
      <c r="E18" s="1">
        <f>'Unit cost and price'!D6*2/1000</f>
        <v>63000</v>
      </c>
      <c r="F18" s="1">
        <f t="shared" si="3"/>
        <v>63000</v>
      </c>
      <c r="G18" s="1">
        <f t="shared" si="3"/>
        <v>63000</v>
      </c>
      <c r="H18" s="1">
        <f t="shared" si="3"/>
        <v>63000</v>
      </c>
      <c r="I18" s="1">
        <f t="shared" si="3"/>
        <v>63000</v>
      </c>
      <c r="J18" s="1">
        <f t="shared" si="3"/>
        <v>63000</v>
      </c>
      <c r="K18" s="1">
        <f t="shared" si="3"/>
        <v>63000</v>
      </c>
      <c r="L18" s="1">
        <f t="shared" si="3"/>
        <v>63000</v>
      </c>
      <c r="M18" s="1">
        <f t="shared" si="3"/>
        <v>63000</v>
      </c>
      <c r="N18" s="1">
        <f t="shared" si="3"/>
        <v>63000</v>
      </c>
      <c r="O18" s="1">
        <f t="shared" si="3"/>
        <v>63000</v>
      </c>
      <c r="P18" s="1">
        <f t="shared" si="3"/>
        <v>63000</v>
      </c>
      <c r="Q18" s="1">
        <f t="shared" si="0"/>
        <v>756000</v>
      </c>
      <c r="R18" s="1"/>
    </row>
    <row r="19" spans="1:18">
      <c r="A19" t="s">
        <v>200</v>
      </c>
      <c r="B19" t="s">
        <v>164</v>
      </c>
      <c r="E19" s="1">
        <f>'Unit cost and price'!D7*2/1000</f>
        <v>200000</v>
      </c>
      <c r="F19" s="1">
        <f t="shared" si="3"/>
        <v>200000</v>
      </c>
      <c r="G19" s="1">
        <f t="shared" si="3"/>
        <v>200000</v>
      </c>
      <c r="H19" s="1">
        <f t="shared" si="3"/>
        <v>200000</v>
      </c>
      <c r="I19" s="1">
        <f t="shared" si="3"/>
        <v>200000</v>
      </c>
      <c r="J19" s="1">
        <f t="shared" si="3"/>
        <v>200000</v>
      </c>
      <c r="K19" s="1">
        <f t="shared" si="3"/>
        <v>200000</v>
      </c>
      <c r="L19" s="1">
        <f t="shared" si="3"/>
        <v>200000</v>
      </c>
      <c r="M19" s="1">
        <f t="shared" si="3"/>
        <v>200000</v>
      </c>
      <c r="N19" s="1">
        <f t="shared" si="3"/>
        <v>200000</v>
      </c>
      <c r="O19" s="1">
        <f t="shared" si="3"/>
        <v>200000</v>
      </c>
      <c r="P19" s="1">
        <f t="shared" si="3"/>
        <v>200000</v>
      </c>
      <c r="Q19" s="1">
        <f t="shared" si="0"/>
        <v>2400000</v>
      </c>
      <c r="R19" s="1"/>
    </row>
    <row r="20" spans="1:18">
      <c r="A20" t="s">
        <v>117</v>
      </c>
      <c r="B20" t="s">
        <v>159</v>
      </c>
      <c r="E20" s="1">
        <f>'Unit cost and price'!D8/1000</f>
        <v>7500</v>
      </c>
      <c r="F20" s="1">
        <f t="shared" si="3"/>
        <v>7500</v>
      </c>
      <c r="G20" s="1">
        <f t="shared" si="3"/>
        <v>7500</v>
      </c>
      <c r="H20" s="1">
        <f t="shared" si="3"/>
        <v>7500</v>
      </c>
      <c r="I20" s="1">
        <f t="shared" si="3"/>
        <v>7500</v>
      </c>
      <c r="J20" s="1">
        <f t="shared" si="3"/>
        <v>7500</v>
      </c>
      <c r="K20" s="1">
        <f t="shared" si="3"/>
        <v>7500</v>
      </c>
      <c r="L20" s="1">
        <f t="shared" si="3"/>
        <v>7500</v>
      </c>
      <c r="M20" s="1">
        <f t="shared" si="3"/>
        <v>7500</v>
      </c>
      <c r="N20" s="1">
        <f t="shared" si="3"/>
        <v>7500</v>
      </c>
      <c r="O20" s="1">
        <f t="shared" si="3"/>
        <v>7500</v>
      </c>
      <c r="P20" s="1">
        <f t="shared" si="3"/>
        <v>7500</v>
      </c>
      <c r="Q20" s="1">
        <f t="shared" si="0"/>
        <v>90000</v>
      </c>
      <c r="R20" s="1"/>
    </row>
    <row r="21" spans="1:18">
      <c r="A21" t="s">
        <v>35</v>
      </c>
      <c r="B21" t="s">
        <v>36</v>
      </c>
      <c r="E21" s="26">
        <v>10000</v>
      </c>
      <c r="F21" s="1">
        <f t="shared" si="3"/>
        <v>10000</v>
      </c>
      <c r="G21" s="1">
        <f t="shared" si="3"/>
        <v>10000</v>
      </c>
      <c r="H21" s="1">
        <f t="shared" si="3"/>
        <v>10000</v>
      </c>
      <c r="I21" s="1">
        <f t="shared" si="3"/>
        <v>10000</v>
      </c>
      <c r="J21" s="1">
        <f t="shared" si="3"/>
        <v>10000</v>
      </c>
      <c r="K21" s="1">
        <f t="shared" si="3"/>
        <v>10000</v>
      </c>
      <c r="L21" s="1">
        <f t="shared" si="3"/>
        <v>10000</v>
      </c>
      <c r="M21" s="1">
        <f t="shared" si="3"/>
        <v>10000</v>
      </c>
      <c r="N21" s="1">
        <f t="shared" si="3"/>
        <v>10000</v>
      </c>
      <c r="O21" s="1">
        <f t="shared" si="3"/>
        <v>10000</v>
      </c>
      <c r="P21" s="1">
        <f t="shared" si="3"/>
        <v>10000</v>
      </c>
      <c r="Q21" s="1">
        <f t="shared" si="0"/>
        <v>120000</v>
      </c>
      <c r="R21" s="1"/>
    </row>
    <row r="22" spans="1:18">
      <c r="A22" t="s">
        <v>168</v>
      </c>
      <c r="B22" t="s">
        <v>170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 t="shared" si="0"/>
        <v>0</v>
      </c>
      <c r="R22" s="1"/>
    </row>
    <row r="23" spans="1:18">
      <c r="A23" t="s">
        <v>169</v>
      </c>
      <c r="B23" t="s">
        <v>171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 t="shared" si="0"/>
        <v>0</v>
      </c>
      <c r="R23" s="1"/>
    </row>
    <row r="24" spans="1:18">
      <c r="A24" t="s">
        <v>5</v>
      </c>
      <c r="E24" s="26">
        <f>Interest!$H$5+Interest!$D$3</f>
        <v>26900</v>
      </c>
      <c r="F24" s="26">
        <f>Interest!$H$5+Interest!$D$3</f>
        <v>26900</v>
      </c>
      <c r="G24" s="26">
        <f>Interest!$H$5+Interest!$D$3</f>
        <v>26900</v>
      </c>
      <c r="H24" s="26">
        <f>Interest!$H$5+Interest!$D$3</f>
        <v>26900</v>
      </c>
      <c r="I24" s="26">
        <f>Interest!$H$5+Interest!$D$3</f>
        <v>26900</v>
      </c>
      <c r="J24" s="26">
        <f>Interest!$H$5+Interest!$D$3</f>
        <v>26900</v>
      </c>
      <c r="K24" s="26">
        <f>Interest!$H$5+Interest!$D$3</f>
        <v>26900</v>
      </c>
      <c r="L24" s="26">
        <f>Interest!$H$5+Interest!$D$3</f>
        <v>26900</v>
      </c>
      <c r="M24" s="26">
        <f>Interest!$H$5+Interest!$D$3</f>
        <v>26900</v>
      </c>
      <c r="N24" s="26">
        <f>Interest!$H$5+Interest!$D$3</f>
        <v>26900</v>
      </c>
      <c r="O24" s="26">
        <f>Interest!$H$5+Interest!$D$3</f>
        <v>26900</v>
      </c>
      <c r="P24" s="26">
        <f>Interest!$H$5+Interest!$D$3</f>
        <v>26900</v>
      </c>
      <c r="Q24" s="1">
        <f t="shared" si="0"/>
        <v>322800</v>
      </c>
      <c r="R24" s="1"/>
    </row>
    <row r="25" spans="1:18">
      <c r="A25" s="4" t="s">
        <v>23</v>
      </c>
      <c r="B25" s="4"/>
      <c r="C25" s="4"/>
      <c r="D25" s="4"/>
      <c r="E25" s="68">
        <f>SUM(E12:E24)</f>
        <v>1945400</v>
      </c>
      <c r="F25" s="68">
        <f t="shared" ref="F25:Q25" si="4">SUM(F12:F24)</f>
        <v>835400</v>
      </c>
      <c r="G25" s="68">
        <f t="shared" si="4"/>
        <v>835400</v>
      </c>
      <c r="H25" s="68">
        <f t="shared" si="4"/>
        <v>835400</v>
      </c>
      <c r="I25" s="68">
        <f t="shared" si="4"/>
        <v>835400</v>
      </c>
      <c r="J25" s="68">
        <f t="shared" si="4"/>
        <v>835400</v>
      </c>
      <c r="K25" s="68">
        <f t="shared" si="4"/>
        <v>835400</v>
      </c>
      <c r="L25" s="68">
        <f t="shared" si="4"/>
        <v>835400</v>
      </c>
      <c r="M25" s="68">
        <f t="shared" si="4"/>
        <v>835400</v>
      </c>
      <c r="N25" s="68">
        <f t="shared" si="4"/>
        <v>835400</v>
      </c>
      <c r="O25" s="68">
        <f t="shared" si="4"/>
        <v>835400</v>
      </c>
      <c r="P25" s="68">
        <f t="shared" si="4"/>
        <v>835400</v>
      </c>
      <c r="Q25" s="68">
        <f t="shared" si="4"/>
        <v>11134800</v>
      </c>
      <c r="R25" s="1"/>
    </row>
    <row r="26" spans="1:18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4" t="s">
        <v>24</v>
      </c>
      <c r="B27" s="4"/>
      <c r="C27" s="4"/>
      <c r="D27" s="4"/>
      <c r="E27" s="2">
        <f>E10-E25</f>
        <v>-1945400</v>
      </c>
      <c r="F27" s="2">
        <f>F10-F25</f>
        <v>-835400</v>
      </c>
      <c r="G27" s="2">
        <f>G10-G25</f>
        <v>-835400</v>
      </c>
      <c r="H27" s="2">
        <f t="shared" ref="H27:Q27" si="5">H10-H25</f>
        <v>1116700</v>
      </c>
      <c r="I27" s="2">
        <f t="shared" si="5"/>
        <v>-835400</v>
      </c>
      <c r="J27" s="2">
        <f t="shared" si="5"/>
        <v>1116700</v>
      </c>
      <c r="K27" s="2">
        <f t="shared" si="5"/>
        <v>-835400</v>
      </c>
      <c r="L27" s="2">
        <f t="shared" si="5"/>
        <v>1116700</v>
      </c>
      <c r="M27" s="2">
        <f t="shared" si="5"/>
        <v>-835400</v>
      </c>
      <c r="N27" s="2">
        <f t="shared" si="5"/>
        <v>1116700</v>
      </c>
      <c r="O27" s="2">
        <f t="shared" si="5"/>
        <v>-835400</v>
      </c>
      <c r="P27" s="2">
        <f t="shared" si="5"/>
        <v>1116700</v>
      </c>
      <c r="Q27" s="2">
        <f t="shared" si="5"/>
        <v>-1374300</v>
      </c>
      <c r="R27" s="1"/>
    </row>
    <row r="28" spans="1:18">
      <c r="A28" t="s">
        <v>25</v>
      </c>
      <c r="D28" s="27">
        <f>'BS 2006-07'!F13</f>
        <v>-999000</v>
      </c>
      <c r="E28" s="1">
        <f>D28</f>
        <v>-999000</v>
      </c>
      <c r="F28" s="1">
        <f t="shared" ref="F28:P28" si="6">E29</f>
        <v>-2944400</v>
      </c>
      <c r="G28" s="1">
        <f t="shared" si="6"/>
        <v>-3779800</v>
      </c>
      <c r="H28" s="1">
        <f t="shared" si="6"/>
        <v>-4615200</v>
      </c>
      <c r="I28" s="1">
        <f t="shared" si="6"/>
        <v>-3498500</v>
      </c>
      <c r="J28" s="1">
        <f t="shared" si="6"/>
        <v>-4333900</v>
      </c>
      <c r="K28" s="1">
        <f t="shared" si="6"/>
        <v>-3217200</v>
      </c>
      <c r="L28" s="1">
        <f t="shared" si="6"/>
        <v>-4052600</v>
      </c>
      <c r="M28" s="1">
        <f t="shared" si="6"/>
        <v>-2935900</v>
      </c>
      <c r="N28" s="1">
        <f t="shared" si="6"/>
        <v>-3771300</v>
      </c>
      <c r="O28" s="1">
        <f t="shared" si="6"/>
        <v>-2654600</v>
      </c>
      <c r="P28" s="1">
        <f t="shared" si="6"/>
        <v>-3490000</v>
      </c>
      <c r="Q28" s="1">
        <f>E28</f>
        <v>-999000</v>
      </c>
      <c r="R28" s="1"/>
    </row>
    <row r="29" spans="1:18" ht="15" thickBot="1">
      <c r="A29" s="4" t="s">
        <v>26</v>
      </c>
      <c r="E29" s="109">
        <f>E27+E28</f>
        <v>-2944400</v>
      </c>
      <c r="F29" s="109">
        <f t="shared" ref="F29:P29" si="7">F27+F28</f>
        <v>-3779800</v>
      </c>
      <c r="G29" s="109">
        <f t="shared" si="7"/>
        <v>-4615200</v>
      </c>
      <c r="H29" s="109">
        <f t="shared" si="7"/>
        <v>-3498500</v>
      </c>
      <c r="I29" s="109">
        <f t="shared" si="7"/>
        <v>-4333900</v>
      </c>
      <c r="J29" s="109">
        <f t="shared" si="7"/>
        <v>-3217200</v>
      </c>
      <c r="K29" s="109">
        <f t="shared" si="7"/>
        <v>-4052600</v>
      </c>
      <c r="L29" s="109">
        <f t="shared" si="7"/>
        <v>-2935900</v>
      </c>
      <c r="M29" s="109">
        <f t="shared" si="7"/>
        <v>-3771300</v>
      </c>
      <c r="N29" s="109">
        <f t="shared" si="7"/>
        <v>-2654600</v>
      </c>
      <c r="O29" s="109">
        <f t="shared" si="7"/>
        <v>-3490000</v>
      </c>
      <c r="P29" s="109">
        <f t="shared" si="7"/>
        <v>-2373300</v>
      </c>
      <c r="Q29" s="109">
        <f>SUM(Q27:Q28)</f>
        <v>-2373300</v>
      </c>
      <c r="R29" s="1"/>
    </row>
    <row r="30" spans="1:18" ht="15" thickTop="1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6"/>
      <c r="B31" s="1" t="s">
        <v>215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</sheetData>
  <mergeCells count="1">
    <mergeCell ref="E1:Q1"/>
  </mergeCells>
  <phoneticPr fontId="10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C11"/>
  <sheetViews>
    <sheetView workbookViewId="0">
      <selection activeCell="C18" sqref="C18"/>
    </sheetView>
  </sheetViews>
  <sheetFormatPr baseColWidth="10" defaultColWidth="11.5" defaultRowHeight="14"/>
  <cols>
    <col min="1" max="1" width="19.83203125" bestFit="1" customWidth="1"/>
    <col min="2" max="2" width="11.6640625" bestFit="1" customWidth="1"/>
  </cols>
  <sheetData>
    <row r="1" spans="1:3">
      <c r="A1" s="123" t="s">
        <v>11</v>
      </c>
      <c r="B1" s="123"/>
    </row>
    <row r="2" spans="1:3">
      <c r="A2" s="1" t="s">
        <v>339</v>
      </c>
      <c r="B2" s="1">
        <v>210000000</v>
      </c>
    </row>
    <row r="3" spans="1:3">
      <c r="A3" s="1" t="s">
        <v>340</v>
      </c>
      <c r="B3" s="46">
        <f>B2*0.3</f>
        <v>63000000</v>
      </c>
      <c r="C3" s="1"/>
    </row>
    <row r="4" spans="1:3">
      <c r="A4" s="1" t="s">
        <v>341</v>
      </c>
      <c r="B4" s="1">
        <f>B2+B3</f>
        <v>273000000</v>
      </c>
      <c r="C4" s="1"/>
    </row>
    <row r="5" spans="1:3">
      <c r="A5" s="1" t="s">
        <v>331</v>
      </c>
      <c r="B5" s="46">
        <f>B4*0.3</f>
        <v>81900000</v>
      </c>
      <c r="C5" s="1"/>
    </row>
    <row r="6" spans="1:3" ht="15" thickBot="1">
      <c r="A6" s="1" t="s">
        <v>342</v>
      </c>
      <c r="B6" s="47">
        <f>B4+B5</f>
        <v>354900000</v>
      </c>
      <c r="C6" s="1"/>
    </row>
    <row r="7" spans="1:3" ht="15" thickTop="1">
      <c r="A7" s="1" t="s">
        <v>183</v>
      </c>
      <c r="B7" s="1">
        <v>355000000</v>
      </c>
      <c r="C7" s="1"/>
    </row>
    <row r="8" spans="1:3">
      <c r="C8" s="1"/>
    </row>
    <row r="9" spans="1:3">
      <c r="A9" s="1"/>
      <c r="B9" s="1"/>
      <c r="C9" s="1"/>
    </row>
    <row r="10" spans="1:3">
      <c r="A10" s="1" t="s">
        <v>353</v>
      </c>
      <c r="B10" s="1">
        <f>B7-B4</f>
        <v>82000000</v>
      </c>
      <c r="C10" s="1" t="s">
        <v>140</v>
      </c>
    </row>
    <row r="11" spans="1:3">
      <c r="A11" s="1" t="s">
        <v>12</v>
      </c>
      <c r="B11" s="1">
        <f>B7-'ZBB Bid'!D9</f>
        <v>44000000</v>
      </c>
      <c r="C11" s="1" t="s">
        <v>141</v>
      </c>
    </row>
  </sheetData>
  <mergeCells count="1">
    <mergeCell ref="A1:B1"/>
  </mergeCells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R31"/>
  <sheetViews>
    <sheetView topLeftCell="C15" workbookViewId="0">
      <selection activeCell="E29" sqref="E29:Q29"/>
    </sheetView>
  </sheetViews>
  <sheetFormatPr baseColWidth="10" defaultColWidth="8.83203125" defaultRowHeight="14"/>
  <cols>
    <col min="1" max="1" width="27.5" customWidth="1"/>
    <col min="2" max="2" width="27.6640625" customWidth="1"/>
    <col min="3" max="3" width="1" customWidth="1"/>
    <col min="4" max="4" width="10.1640625" customWidth="1"/>
    <col min="5" max="5" width="12.5" customWidth="1"/>
    <col min="6" max="6" width="13.5" customWidth="1"/>
    <col min="7" max="7" width="13" customWidth="1"/>
    <col min="8" max="8" width="12.33203125" customWidth="1"/>
    <col min="9" max="9" width="12.5" customWidth="1"/>
    <col min="10" max="10" width="12.83203125" customWidth="1"/>
    <col min="11" max="11" width="11.5" customWidth="1"/>
    <col min="12" max="12" width="12.83203125" customWidth="1"/>
    <col min="13" max="13" width="11.6640625" customWidth="1"/>
    <col min="14" max="16" width="11.83203125" customWidth="1"/>
    <col min="17" max="17" width="12.5" customWidth="1"/>
  </cols>
  <sheetData>
    <row r="1" spans="1:18">
      <c r="A1" t="s">
        <v>304</v>
      </c>
      <c r="E1" s="123" t="s">
        <v>77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3" spans="1:18" s="45" customFormat="1">
      <c r="A3" s="45" t="s">
        <v>173</v>
      </c>
      <c r="B3" s="45" t="s">
        <v>174</v>
      </c>
      <c r="E3" s="45" t="s">
        <v>305</v>
      </c>
      <c r="F3" s="45" t="s">
        <v>306</v>
      </c>
      <c r="G3" s="45" t="s">
        <v>307</v>
      </c>
      <c r="H3" s="45" t="s">
        <v>308</v>
      </c>
      <c r="I3" s="45" t="s">
        <v>309</v>
      </c>
      <c r="J3" s="45" t="s">
        <v>310</v>
      </c>
      <c r="K3" s="45" t="s">
        <v>311</v>
      </c>
      <c r="L3" s="45" t="s">
        <v>312</v>
      </c>
      <c r="M3" s="45" t="s">
        <v>313</v>
      </c>
      <c r="N3" s="45" t="s">
        <v>43</v>
      </c>
      <c r="O3" s="45" t="s">
        <v>315</v>
      </c>
      <c r="P3" s="45" t="s">
        <v>316</v>
      </c>
      <c r="Q3" s="45" t="s">
        <v>196</v>
      </c>
    </row>
    <row r="4" spans="1:18" hidden="1">
      <c r="A4" t="s">
        <v>317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f>SUM(E4:P4)</f>
        <v>24</v>
      </c>
      <c r="R4" s="1"/>
    </row>
    <row r="5" spans="1:18" hidden="1">
      <c r="A5" t="s">
        <v>318</v>
      </c>
      <c r="E5" s="1"/>
      <c r="F5" s="1">
        <v>4</v>
      </c>
      <c r="G5" s="1"/>
      <c r="H5" s="1">
        <v>4</v>
      </c>
      <c r="I5" s="1"/>
      <c r="J5" s="1">
        <v>4</v>
      </c>
      <c r="K5" s="1"/>
      <c r="L5" s="1">
        <v>4</v>
      </c>
      <c r="M5" s="1"/>
      <c r="N5" s="1">
        <v>4</v>
      </c>
      <c r="O5" s="1"/>
      <c r="P5" s="1">
        <v>4</v>
      </c>
      <c r="Q5" s="1">
        <f>SUM(E5:P5)</f>
        <v>24</v>
      </c>
      <c r="R5" s="1"/>
    </row>
    <row r="6" spans="1:18" hidden="1">
      <c r="A6" t="s">
        <v>165</v>
      </c>
      <c r="E6" s="46"/>
      <c r="F6" s="46">
        <v>450000</v>
      </c>
      <c r="G6" s="46"/>
      <c r="H6" s="46">
        <f>F6</f>
        <v>450000</v>
      </c>
      <c r="I6" s="46"/>
      <c r="J6" s="46">
        <f>H6</f>
        <v>450000</v>
      </c>
      <c r="K6" s="46"/>
      <c r="L6" s="46">
        <f>J6</f>
        <v>450000</v>
      </c>
      <c r="M6" s="46"/>
      <c r="N6" s="46">
        <f>L6</f>
        <v>450000</v>
      </c>
      <c r="O6" s="46"/>
      <c r="P6" s="46">
        <f>N6</f>
        <v>450000</v>
      </c>
      <c r="Q6" s="46"/>
      <c r="R6" s="1"/>
    </row>
    <row r="7" spans="1:18">
      <c r="A7" t="s">
        <v>179</v>
      </c>
      <c r="B7" s="19"/>
      <c r="C7" s="19"/>
      <c r="D7" s="19"/>
      <c r="E7" s="8">
        <f>E4*E6</f>
        <v>0</v>
      </c>
      <c r="H7" s="8">
        <f>'Year 1 IS Projection'!E7+'Year 1 IS Projection'!F7</f>
        <v>1800000</v>
      </c>
      <c r="J7" s="8">
        <f>'Year 1 IS Projection'!G7+'Year 1 IS Projection'!H7</f>
        <v>1800000</v>
      </c>
      <c r="L7" s="8">
        <f>'Year 1 IS Projection'!I7+'Year 1 IS Projection'!J7</f>
        <v>1800000</v>
      </c>
      <c r="N7" s="8">
        <f>'Year 1 IS Projection'!K7+'Year 1 IS Projection'!L7</f>
        <v>1800000</v>
      </c>
      <c r="P7" s="8">
        <f>'Year 1 IS Projection'!M7+'Year 1 IS Projection'!N7</f>
        <v>1800000</v>
      </c>
      <c r="Q7" s="8">
        <f>SUM(E7:P7)</f>
        <v>9000000</v>
      </c>
      <c r="R7" s="1"/>
    </row>
    <row r="8" spans="1:18">
      <c r="A8" t="s">
        <v>282</v>
      </c>
      <c r="E8" s="2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ref="Q8:Q24" si="0">SUM(E8:P8)</f>
        <v>0</v>
      </c>
      <c r="R8" s="1"/>
    </row>
    <row r="9" spans="1:18">
      <c r="A9" t="s">
        <v>180</v>
      </c>
      <c r="E9" s="2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0</v>
      </c>
      <c r="R9" s="1"/>
    </row>
    <row r="10" spans="1:18">
      <c r="A10" s="18" t="s">
        <v>21</v>
      </c>
      <c r="B10" s="18"/>
      <c r="C10" s="18"/>
      <c r="D10" s="18"/>
      <c r="E10" s="74">
        <f>SUM(E7:E9)</f>
        <v>0</v>
      </c>
      <c r="F10" s="74">
        <f>SUM(F7:F9)</f>
        <v>0</v>
      </c>
      <c r="G10" s="74">
        <f>SUM(G7:G9)</f>
        <v>0</v>
      </c>
      <c r="H10" s="74">
        <f>SUM(H7:H9)</f>
        <v>1800000</v>
      </c>
      <c r="I10" s="74">
        <f t="shared" ref="I10:P10" si="1">SUM(I7:I9)</f>
        <v>0</v>
      </c>
      <c r="J10" s="74">
        <f t="shared" si="1"/>
        <v>1800000</v>
      </c>
      <c r="K10" s="74">
        <f t="shared" si="1"/>
        <v>0</v>
      </c>
      <c r="L10" s="74">
        <f t="shared" si="1"/>
        <v>1800000</v>
      </c>
      <c r="M10" s="74">
        <f t="shared" si="1"/>
        <v>0</v>
      </c>
      <c r="N10" s="74">
        <f t="shared" si="1"/>
        <v>1800000</v>
      </c>
      <c r="O10" s="74">
        <f t="shared" si="1"/>
        <v>0</v>
      </c>
      <c r="P10" s="74">
        <f t="shared" si="1"/>
        <v>1800000</v>
      </c>
      <c r="Q10" s="74">
        <f>SUM(E10:P10)</f>
        <v>9000000</v>
      </c>
      <c r="R10" s="1"/>
    </row>
    <row r="11" spans="1:18">
      <c r="A11" t="s">
        <v>22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t="s">
        <v>33</v>
      </c>
      <c r="E12" s="26">
        <f>'Capital forecast'!E6</f>
        <v>500000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f t="shared" si="0"/>
        <v>500000</v>
      </c>
      <c r="R12" s="1"/>
    </row>
    <row r="13" spans="1:18">
      <c r="A13" t="s">
        <v>34</v>
      </c>
      <c r="E13" s="26">
        <f>'Capital forecast'!E7+'Capital forecast'!E8</f>
        <v>520000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 t="shared" si="0"/>
        <v>520000</v>
      </c>
      <c r="R13" s="1"/>
    </row>
    <row r="14" spans="1:18">
      <c r="A14" t="s">
        <v>100</v>
      </c>
      <c r="D14" s="20"/>
      <c r="E14" s="1">
        <f>'Capital forecast'!E12</f>
        <v>90000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 t="shared" si="0"/>
        <v>90000</v>
      </c>
      <c r="R14" s="1"/>
    </row>
    <row r="15" spans="1:18">
      <c r="A15" t="s">
        <v>99</v>
      </c>
      <c r="B15" t="s">
        <v>172</v>
      </c>
      <c r="E15" s="1">
        <f>'Unit cost and price'!D3*2/1000</f>
        <v>384000</v>
      </c>
      <c r="F15" s="1">
        <f>E15</f>
        <v>384000</v>
      </c>
      <c r="G15" s="1">
        <f>F15</f>
        <v>384000</v>
      </c>
      <c r="H15" s="1">
        <f t="shared" ref="H15:P15" si="2">G15</f>
        <v>384000</v>
      </c>
      <c r="I15" s="1">
        <f>H15</f>
        <v>384000</v>
      </c>
      <c r="J15" s="1">
        <f t="shared" si="2"/>
        <v>384000</v>
      </c>
      <c r="K15" s="1">
        <f t="shared" si="2"/>
        <v>384000</v>
      </c>
      <c r="L15" s="1">
        <f t="shared" si="2"/>
        <v>384000</v>
      </c>
      <c r="M15" s="1">
        <f t="shared" si="2"/>
        <v>384000</v>
      </c>
      <c r="N15" s="1">
        <f t="shared" si="2"/>
        <v>384000</v>
      </c>
      <c r="O15" s="1">
        <f t="shared" si="2"/>
        <v>384000</v>
      </c>
      <c r="P15" s="1">
        <f t="shared" si="2"/>
        <v>384000</v>
      </c>
      <c r="Q15" s="1">
        <f>SUM(E15:P15)</f>
        <v>4608000</v>
      </c>
      <c r="R15" s="1"/>
    </row>
    <row r="16" spans="1:18">
      <c r="A16" t="s">
        <v>292</v>
      </c>
      <c r="B16" t="s">
        <v>157</v>
      </c>
      <c r="E16" s="1">
        <f>'Unit cost and price'!D4*2/1000</f>
        <v>120000</v>
      </c>
      <c r="F16" s="1">
        <f t="shared" ref="F16:P21" si="3">E16</f>
        <v>120000</v>
      </c>
      <c r="G16" s="1">
        <f t="shared" si="3"/>
        <v>120000</v>
      </c>
      <c r="H16" s="1">
        <f t="shared" si="3"/>
        <v>120000</v>
      </c>
      <c r="I16" s="1">
        <f t="shared" si="3"/>
        <v>120000</v>
      </c>
      <c r="J16" s="1">
        <f t="shared" si="3"/>
        <v>120000</v>
      </c>
      <c r="K16" s="1">
        <f t="shared" si="3"/>
        <v>120000</v>
      </c>
      <c r="L16" s="1">
        <f t="shared" si="3"/>
        <v>120000</v>
      </c>
      <c r="M16" s="1">
        <f t="shared" si="3"/>
        <v>120000</v>
      </c>
      <c r="N16" s="1">
        <f t="shared" si="3"/>
        <v>120000</v>
      </c>
      <c r="O16" s="1">
        <f t="shared" si="3"/>
        <v>120000</v>
      </c>
      <c r="P16" s="1">
        <f t="shared" si="3"/>
        <v>120000</v>
      </c>
      <c r="Q16" s="1">
        <f t="shared" si="0"/>
        <v>1440000</v>
      </c>
      <c r="R16" s="1"/>
    </row>
    <row r="17" spans="1:18">
      <c r="A17" t="s">
        <v>102</v>
      </c>
      <c r="B17" t="s">
        <v>158</v>
      </c>
      <c r="E17" s="26">
        <f>'Unit cost and price'!D5*2/1000</f>
        <v>24000</v>
      </c>
      <c r="F17" s="1">
        <f t="shared" si="3"/>
        <v>24000</v>
      </c>
      <c r="G17" s="1">
        <f t="shared" si="3"/>
        <v>24000</v>
      </c>
      <c r="H17" s="1">
        <f t="shared" si="3"/>
        <v>24000</v>
      </c>
      <c r="I17" s="1">
        <f t="shared" si="3"/>
        <v>24000</v>
      </c>
      <c r="J17" s="1">
        <f t="shared" si="3"/>
        <v>24000</v>
      </c>
      <c r="K17" s="1">
        <f t="shared" si="3"/>
        <v>24000</v>
      </c>
      <c r="L17" s="1">
        <f t="shared" si="3"/>
        <v>24000</v>
      </c>
      <c r="M17" s="1">
        <f t="shared" si="3"/>
        <v>24000</v>
      </c>
      <c r="N17" s="1">
        <f t="shared" si="3"/>
        <v>24000</v>
      </c>
      <c r="O17" s="1">
        <f t="shared" si="3"/>
        <v>24000</v>
      </c>
      <c r="P17" s="1">
        <f t="shared" si="3"/>
        <v>24000</v>
      </c>
      <c r="Q17" s="1">
        <f t="shared" si="0"/>
        <v>288000</v>
      </c>
      <c r="R17" s="1"/>
    </row>
    <row r="18" spans="1:18">
      <c r="A18" t="s">
        <v>192</v>
      </c>
      <c r="B18" t="s">
        <v>156</v>
      </c>
      <c r="E18" s="1">
        <f>'Unit cost and price'!D6*2/1000</f>
        <v>63000</v>
      </c>
      <c r="F18" s="1">
        <f t="shared" si="3"/>
        <v>63000</v>
      </c>
      <c r="G18" s="1">
        <f t="shared" si="3"/>
        <v>63000</v>
      </c>
      <c r="H18" s="1">
        <f t="shared" si="3"/>
        <v>63000</v>
      </c>
      <c r="I18" s="1">
        <f t="shared" si="3"/>
        <v>63000</v>
      </c>
      <c r="J18" s="1">
        <f t="shared" si="3"/>
        <v>63000</v>
      </c>
      <c r="K18" s="1">
        <f t="shared" si="3"/>
        <v>63000</v>
      </c>
      <c r="L18" s="1">
        <f t="shared" si="3"/>
        <v>63000</v>
      </c>
      <c r="M18" s="1">
        <f t="shared" si="3"/>
        <v>63000</v>
      </c>
      <c r="N18" s="1">
        <f t="shared" si="3"/>
        <v>63000</v>
      </c>
      <c r="O18" s="1">
        <f t="shared" si="3"/>
        <v>63000</v>
      </c>
      <c r="P18" s="1">
        <f t="shared" si="3"/>
        <v>63000</v>
      </c>
      <c r="Q18" s="1">
        <f t="shared" si="0"/>
        <v>756000</v>
      </c>
      <c r="R18" s="1"/>
    </row>
    <row r="19" spans="1:18">
      <c r="A19" t="s">
        <v>200</v>
      </c>
      <c r="B19" t="s">
        <v>164</v>
      </c>
      <c r="E19" s="1">
        <f>'Unit cost and price'!D7*2/1000</f>
        <v>200000</v>
      </c>
      <c r="F19" s="1">
        <f t="shared" si="3"/>
        <v>200000</v>
      </c>
      <c r="G19" s="1">
        <f t="shared" si="3"/>
        <v>200000</v>
      </c>
      <c r="H19" s="1">
        <f t="shared" si="3"/>
        <v>200000</v>
      </c>
      <c r="I19" s="1">
        <f t="shared" si="3"/>
        <v>200000</v>
      </c>
      <c r="J19" s="1">
        <f t="shared" si="3"/>
        <v>200000</v>
      </c>
      <c r="K19" s="1">
        <f t="shared" si="3"/>
        <v>200000</v>
      </c>
      <c r="L19" s="1">
        <f t="shared" si="3"/>
        <v>200000</v>
      </c>
      <c r="M19" s="1">
        <f t="shared" si="3"/>
        <v>200000</v>
      </c>
      <c r="N19" s="1">
        <f t="shared" si="3"/>
        <v>200000</v>
      </c>
      <c r="O19" s="1">
        <f t="shared" si="3"/>
        <v>200000</v>
      </c>
      <c r="P19" s="1">
        <f t="shared" si="3"/>
        <v>200000</v>
      </c>
      <c r="Q19" s="1">
        <f t="shared" si="0"/>
        <v>2400000</v>
      </c>
      <c r="R19" s="1"/>
    </row>
    <row r="20" spans="1:18">
      <c r="A20" t="s">
        <v>117</v>
      </c>
      <c r="B20" t="s">
        <v>159</v>
      </c>
      <c r="E20" s="1">
        <f>'Unit cost and price'!D8/1000</f>
        <v>7500</v>
      </c>
      <c r="F20" s="1">
        <f t="shared" si="3"/>
        <v>7500</v>
      </c>
      <c r="G20" s="1">
        <f t="shared" si="3"/>
        <v>7500</v>
      </c>
      <c r="H20" s="1">
        <f t="shared" si="3"/>
        <v>7500</v>
      </c>
      <c r="I20" s="1">
        <f t="shared" si="3"/>
        <v>7500</v>
      </c>
      <c r="J20" s="1">
        <f t="shared" si="3"/>
        <v>7500</v>
      </c>
      <c r="K20" s="1">
        <f t="shared" si="3"/>
        <v>7500</v>
      </c>
      <c r="L20" s="1">
        <f t="shared" si="3"/>
        <v>7500</v>
      </c>
      <c r="M20" s="1">
        <f t="shared" si="3"/>
        <v>7500</v>
      </c>
      <c r="N20" s="1">
        <f t="shared" si="3"/>
        <v>7500</v>
      </c>
      <c r="O20" s="1">
        <f t="shared" si="3"/>
        <v>7500</v>
      </c>
      <c r="P20" s="1">
        <f t="shared" si="3"/>
        <v>7500</v>
      </c>
      <c r="Q20" s="1">
        <f t="shared" si="0"/>
        <v>90000</v>
      </c>
      <c r="R20" s="1"/>
    </row>
    <row r="21" spans="1:18">
      <c r="A21" t="s">
        <v>35</v>
      </c>
      <c r="B21" t="s">
        <v>36</v>
      </c>
      <c r="E21" s="26">
        <v>0</v>
      </c>
      <c r="F21" s="1">
        <f t="shared" si="3"/>
        <v>0</v>
      </c>
      <c r="G21" s="1">
        <f t="shared" si="3"/>
        <v>0</v>
      </c>
      <c r="H21" s="1">
        <f t="shared" si="3"/>
        <v>0</v>
      </c>
      <c r="I21" s="1">
        <f t="shared" si="3"/>
        <v>0</v>
      </c>
      <c r="J21" s="1">
        <f t="shared" si="3"/>
        <v>0</v>
      </c>
      <c r="K21" s="1">
        <f t="shared" si="3"/>
        <v>0</v>
      </c>
      <c r="L21" s="1">
        <f t="shared" si="3"/>
        <v>0</v>
      </c>
      <c r="M21" s="1">
        <f t="shared" si="3"/>
        <v>0</v>
      </c>
      <c r="N21" s="1">
        <f t="shared" si="3"/>
        <v>0</v>
      </c>
      <c r="O21" s="1">
        <f t="shared" si="3"/>
        <v>0</v>
      </c>
      <c r="P21" s="1">
        <f t="shared" si="3"/>
        <v>0</v>
      </c>
      <c r="Q21" s="1">
        <f t="shared" si="0"/>
        <v>0</v>
      </c>
      <c r="R21" s="1"/>
    </row>
    <row r="22" spans="1:18">
      <c r="A22" t="s">
        <v>168</v>
      </c>
      <c r="B22" t="s">
        <v>170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 t="shared" si="0"/>
        <v>0</v>
      </c>
      <c r="R22" s="1"/>
    </row>
    <row r="23" spans="1:18">
      <c r="A23" t="s">
        <v>169</v>
      </c>
      <c r="B23" t="s">
        <v>171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 t="shared" si="0"/>
        <v>0</v>
      </c>
      <c r="R23" s="1"/>
    </row>
    <row r="24" spans="1:18">
      <c r="A24" t="s">
        <v>5</v>
      </c>
      <c r="E24" s="26">
        <f>Interest!$H$5+Interest!$D$3</f>
        <v>26900</v>
      </c>
      <c r="F24" s="26">
        <f>Interest!$H$5+Interest!$D$3</f>
        <v>26900</v>
      </c>
      <c r="G24" s="26">
        <f>Interest!$H$5+Interest!$D$3</f>
        <v>26900</v>
      </c>
      <c r="H24" s="26">
        <f>Interest!$H$5+Interest!$D$3</f>
        <v>26900</v>
      </c>
      <c r="I24" s="26">
        <f>Interest!$H$5+Interest!$D$3</f>
        <v>26900</v>
      </c>
      <c r="J24" s="26">
        <f>Interest!$H$5+Interest!$D$3</f>
        <v>26900</v>
      </c>
      <c r="K24" s="26">
        <f>Interest!$H$5+Interest!$D$3</f>
        <v>26900</v>
      </c>
      <c r="L24" s="26">
        <f>Interest!$H$5+Interest!$D$3</f>
        <v>26900</v>
      </c>
      <c r="M24" s="26">
        <f>Interest!$H$5+Interest!$D$3</f>
        <v>26900</v>
      </c>
      <c r="N24" s="26">
        <f>Interest!$H$5+Interest!$D$3</f>
        <v>26900</v>
      </c>
      <c r="O24" s="26">
        <f>Interest!$H$5+Interest!$D$3</f>
        <v>26900</v>
      </c>
      <c r="P24" s="26">
        <f>Interest!$H$5+Interest!$D$3</f>
        <v>26900</v>
      </c>
      <c r="Q24" s="1">
        <f t="shared" si="0"/>
        <v>322800</v>
      </c>
      <c r="R24" s="1"/>
    </row>
    <row r="25" spans="1:18">
      <c r="A25" s="4" t="s">
        <v>23</v>
      </c>
      <c r="B25" s="4"/>
      <c r="C25" s="4"/>
      <c r="D25" s="4"/>
      <c r="E25" s="68">
        <f>SUM(E12:E24)</f>
        <v>1935400</v>
      </c>
      <c r="F25" s="68">
        <f t="shared" ref="F25:Q25" si="4">SUM(F12:F24)</f>
        <v>825400</v>
      </c>
      <c r="G25" s="68">
        <f t="shared" si="4"/>
        <v>825400</v>
      </c>
      <c r="H25" s="68">
        <f t="shared" si="4"/>
        <v>825400</v>
      </c>
      <c r="I25" s="68">
        <f t="shared" si="4"/>
        <v>825400</v>
      </c>
      <c r="J25" s="68">
        <f t="shared" si="4"/>
        <v>825400</v>
      </c>
      <c r="K25" s="68">
        <f t="shared" si="4"/>
        <v>825400</v>
      </c>
      <c r="L25" s="68">
        <f t="shared" si="4"/>
        <v>825400</v>
      </c>
      <c r="M25" s="68">
        <f t="shared" si="4"/>
        <v>825400</v>
      </c>
      <c r="N25" s="68">
        <f t="shared" si="4"/>
        <v>825400</v>
      </c>
      <c r="O25" s="68">
        <f t="shared" si="4"/>
        <v>825400</v>
      </c>
      <c r="P25" s="68">
        <f t="shared" si="4"/>
        <v>825400</v>
      </c>
      <c r="Q25" s="68">
        <f t="shared" si="4"/>
        <v>11014800</v>
      </c>
      <c r="R25" s="1"/>
    </row>
    <row r="26" spans="1:18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4" t="s">
        <v>24</v>
      </c>
      <c r="B27" s="4"/>
      <c r="C27" s="4"/>
      <c r="D27" s="4"/>
      <c r="E27" s="2">
        <f>E10-E25</f>
        <v>-1935400</v>
      </c>
      <c r="F27" s="2">
        <f>F10-F25</f>
        <v>-825400</v>
      </c>
      <c r="G27" s="2">
        <f>G10-G25</f>
        <v>-825400</v>
      </c>
      <c r="H27" s="2">
        <f t="shared" ref="H27:Q27" si="5">H10-H25</f>
        <v>974600</v>
      </c>
      <c r="I27" s="2">
        <f t="shared" si="5"/>
        <v>-825400</v>
      </c>
      <c r="J27" s="2">
        <f t="shared" si="5"/>
        <v>974600</v>
      </c>
      <c r="K27" s="2">
        <f t="shared" si="5"/>
        <v>-825400</v>
      </c>
      <c r="L27" s="2">
        <f t="shared" si="5"/>
        <v>974600</v>
      </c>
      <c r="M27" s="2">
        <f t="shared" si="5"/>
        <v>-825400</v>
      </c>
      <c r="N27" s="2">
        <f t="shared" si="5"/>
        <v>974600</v>
      </c>
      <c r="O27" s="2">
        <f t="shared" si="5"/>
        <v>-825400</v>
      </c>
      <c r="P27" s="2">
        <f t="shared" si="5"/>
        <v>974600</v>
      </c>
      <c r="Q27" s="2">
        <f t="shared" si="5"/>
        <v>-2014800</v>
      </c>
      <c r="R27" s="1"/>
    </row>
    <row r="28" spans="1:18">
      <c r="A28" t="s">
        <v>25</v>
      </c>
      <c r="D28" s="27">
        <f>'BS 2006-07'!F13</f>
        <v>-999000</v>
      </c>
      <c r="E28" s="1">
        <f>D28</f>
        <v>-999000</v>
      </c>
      <c r="F28" s="1">
        <f t="shared" ref="F28:P28" si="6">E29</f>
        <v>-2934400</v>
      </c>
      <c r="G28" s="1">
        <f t="shared" si="6"/>
        <v>-3759800</v>
      </c>
      <c r="H28" s="1">
        <f t="shared" si="6"/>
        <v>-4585200</v>
      </c>
      <c r="I28" s="1">
        <f t="shared" si="6"/>
        <v>-3610600</v>
      </c>
      <c r="J28" s="1">
        <f t="shared" si="6"/>
        <v>-4436000</v>
      </c>
      <c r="K28" s="1">
        <f t="shared" si="6"/>
        <v>-3461400</v>
      </c>
      <c r="L28" s="1">
        <f t="shared" si="6"/>
        <v>-4286800</v>
      </c>
      <c r="M28" s="1">
        <f t="shared" si="6"/>
        <v>-3312200</v>
      </c>
      <c r="N28" s="1">
        <f t="shared" si="6"/>
        <v>-4137600</v>
      </c>
      <c r="O28" s="1">
        <f t="shared" si="6"/>
        <v>-3163000</v>
      </c>
      <c r="P28" s="1">
        <f t="shared" si="6"/>
        <v>-3988400</v>
      </c>
      <c r="Q28" s="1">
        <f>E28</f>
        <v>-999000</v>
      </c>
      <c r="R28" s="1"/>
    </row>
    <row r="29" spans="1:18" ht="15" thickBot="1">
      <c r="A29" s="4" t="s">
        <v>26</v>
      </c>
      <c r="E29" s="109">
        <f>E27+E28</f>
        <v>-2934400</v>
      </c>
      <c r="F29" s="109">
        <f t="shared" ref="F29:P29" si="7">F27+F28</f>
        <v>-3759800</v>
      </c>
      <c r="G29" s="109">
        <f t="shared" si="7"/>
        <v>-4585200</v>
      </c>
      <c r="H29" s="109">
        <f t="shared" si="7"/>
        <v>-3610600</v>
      </c>
      <c r="I29" s="109">
        <f t="shared" si="7"/>
        <v>-4436000</v>
      </c>
      <c r="J29" s="109">
        <f t="shared" si="7"/>
        <v>-3461400</v>
      </c>
      <c r="K29" s="109">
        <f t="shared" si="7"/>
        <v>-4286800</v>
      </c>
      <c r="L29" s="109">
        <f t="shared" si="7"/>
        <v>-3312200</v>
      </c>
      <c r="M29" s="109">
        <f t="shared" si="7"/>
        <v>-4137600</v>
      </c>
      <c r="N29" s="109">
        <f t="shared" si="7"/>
        <v>-3163000</v>
      </c>
      <c r="O29" s="109">
        <f t="shared" si="7"/>
        <v>-3988400</v>
      </c>
      <c r="P29" s="109">
        <f t="shared" si="7"/>
        <v>-3013800</v>
      </c>
      <c r="Q29" s="109">
        <f>SUM(Q27:Q28)</f>
        <v>-3013800</v>
      </c>
      <c r="R29" s="1"/>
    </row>
    <row r="30" spans="1:18" ht="15" thickTop="1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6"/>
      <c r="B31" s="1" t="s">
        <v>215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</sheetData>
  <mergeCells count="1">
    <mergeCell ref="E1:Q1"/>
  </mergeCells>
  <phoneticPr fontId="10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R31"/>
  <sheetViews>
    <sheetView topLeftCell="C8" workbookViewId="0">
      <selection activeCell="E29" sqref="E29:Q29"/>
    </sheetView>
  </sheetViews>
  <sheetFormatPr baseColWidth="10" defaultColWidth="8.83203125" defaultRowHeight="14"/>
  <cols>
    <col min="1" max="1" width="27.5" customWidth="1"/>
    <col min="2" max="2" width="27.6640625" customWidth="1"/>
    <col min="3" max="3" width="1" customWidth="1"/>
    <col min="4" max="4" width="10.1640625" customWidth="1"/>
    <col min="5" max="5" width="11.5" customWidth="1"/>
    <col min="6" max="6" width="12.5" customWidth="1"/>
    <col min="7" max="7" width="11.83203125" customWidth="1"/>
    <col min="8" max="8" width="12.5" customWidth="1"/>
    <col min="9" max="9" width="12" customWidth="1"/>
    <col min="10" max="10" width="11.5" customWidth="1"/>
    <col min="11" max="12" width="12.33203125" customWidth="1"/>
    <col min="13" max="13" width="11.6640625" customWidth="1"/>
    <col min="14" max="14" width="11.5" customWidth="1"/>
    <col min="15" max="15" width="11.83203125" customWidth="1"/>
    <col min="16" max="16" width="11.5" customWidth="1"/>
    <col min="17" max="17" width="12.83203125" customWidth="1"/>
  </cols>
  <sheetData>
    <row r="1" spans="1:18">
      <c r="A1" t="s">
        <v>304</v>
      </c>
      <c r="E1" s="123" t="s">
        <v>77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3" spans="1:18" s="45" customFormat="1">
      <c r="A3" s="45" t="s">
        <v>173</v>
      </c>
      <c r="B3" s="45" t="s">
        <v>174</v>
      </c>
      <c r="E3" s="45" t="s">
        <v>305</v>
      </c>
      <c r="F3" s="45" t="s">
        <v>306</v>
      </c>
      <c r="G3" s="45" t="s">
        <v>307</v>
      </c>
      <c r="H3" s="45" t="s">
        <v>308</v>
      </c>
      <c r="I3" s="45" t="s">
        <v>309</v>
      </c>
      <c r="J3" s="45" t="s">
        <v>310</v>
      </c>
      <c r="K3" s="45" t="s">
        <v>311</v>
      </c>
      <c r="L3" s="45" t="s">
        <v>312</v>
      </c>
      <c r="M3" s="45" t="s">
        <v>313</v>
      </c>
      <c r="N3" s="45" t="s">
        <v>43</v>
      </c>
      <c r="O3" s="45" t="s">
        <v>315</v>
      </c>
      <c r="P3" s="45" t="s">
        <v>316</v>
      </c>
      <c r="Q3" s="45" t="s">
        <v>196</v>
      </c>
    </row>
    <row r="4" spans="1:18" hidden="1">
      <c r="A4" t="s">
        <v>317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f>SUM(E4:P4)</f>
        <v>24</v>
      </c>
      <c r="R4" s="1"/>
    </row>
    <row r="5" spans="1:18" hidden="1">
      <c r="A5" t="s">
        <v>318</v>
      </c>
      <c r="E5" s="1"/>
      <c r="F5" s="1">
        <v>4</v>
      </c>
      <c r="G5" s="1"/>
      <c r="H5" s="1">
        <v>4</v>
      </c>
      <c r="I5" s="1"/>
      <c r="J5" s="1">
        <v>4</v>
      </c>
      <c r="K5" s="1"/>
      <c r="L5" s="1">
        <v>4</v>
      </c>
      <c r="M5" s="1"/>
      <c r="N5" s="1">
        <v>4</v>
      </c>
      <c r="O5" s="1"/>
      <c r="P5" s="1">
        <v>4</v>
      </c>
      <c r="Q5" s="1">
        <f>SUM(E5:P5)</f>
        <v>24</v>
      </c>
      <c r="R5" s="1"/>
    </row>
    <row r="6" spans="1:18" hidden="1">
      <c r="A6" t="s">
        <v>165</v>
      </c>
      <c r="E6" s="46"/>
      <c r="F6" s="46">
        <v>450000</v>
      </c>
      <c r="G6" s="46"/>
      <c r="H6" s="46">
        <f>F6</f>
        <v>450000</v>
      </c>
      <c r="I6" s="46"/>
      <c r="J6" s="46">
        <f>H6</f>
        <v>450000</v>
      </c>
      <c r="K6" s="46"/>
      <c r="L6" s="46">
        <f>J6</f>
        <v>450000</v>
      </c>
      <c r="M6" s="46"/>
      <c r="N6" s="46">
        <f>L6</f>
        <v>450000</v>
      </c>
      <c r="O6" s="46"/>
      <c r="P6" s="46">
        <f>N6</f>
        <v>450000</v>
      </c>
      <c r="Q6" s="46"/>
      <c r="R6" s="1"/>
    </row>
    <row r="7" spans="1:18">
      <c r="A7" t="s">
        <v>179</v>
      </c>
      <c r="B7" s="19"/>
      <c r="C7" s="19"/>
      <c r="D7" s="19"/>
      <c r="E7" s="8">
        <f>E4*E6</f>
        <v>0</v>
      </c>
      <c r="H7" s="60" t="s">
        <v>57</v>
      </c>
      <c r="I7" s="8">
        <f>'Year 1 IS Projection'!E7+'Year 1 IS Projection'!F7</f>
        <v>1800000</v>
      </c>
      <c r="J7" s="60" t="s">
        <v>57</v>
      </c>
      <c r="K7" s="8">
        <f>'Year 1 IS Projection'!G7+'Year 1 IS Projection'!H7</f>
        <v>1800000</v>
      </c>
      <c r="L7" s="60" t="s">
        <v>57</v>
      </c>
      <c r="M7" s="8">
        <f>'Year 1 IS Projection'!I7+'Year 1 IS Projection'!J7</f>
        <v>1800000</v>
      </c>
      <c r="N7" s="60" t="s">
        <v>57</v>
      </c>
      <c r="O7" s="8">
        <f>'Year 1 IS Projection'!K7+'Year 1 IS Projection'!L7</f>
        <v>1800000</v>
      </c>
      <c r="P7" s="60" t="s">
        <v>57</v>
      </c>
      <c r="Q7" s="8">
        <f>SUM(E7:P7)</f>
        <v>7200000</v>
      </c>
      <c r="R7" s="1"/>
    </row>
    <row r="8" spans="1:18">
      <c r="A8" t="s">
        <v>282</v>
      </c>
      <c r="E8" s="2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ref="Q8:Q24" si="0">SUM(E8:P8)</f>
        <v>0</v>
      </c>
      <c r="R8" s="1"/>
    </row>
    <row r="9" spans="1:18">
      <c r="A9" t="s">
        <v>180</v>
      </c>
      <c r="E9" s="2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0</v>
      </c>
      <c r="R9" s="1"/>
    </row>
    <row r="10" spans="1:18">
      <c r="A10" s="18" t="s">
        <v>21</v>
      </c>
      <c r="B10" s="18"/>
      <c r="C10" s="18"/>
      <c r="D10" s="18"/>
      <c r="E10" s="74">
        <f>SUM(E7:E9)</f>
        <v>0</v>
      </c>
      <c r="F10" s="74">
        <f>SUM(F7:F9)</f>
        <v>0</v>
      </c>
      <c r="G10" s="74">
        <f>SUM(G7:G9)</f>
        <v>0</v>
      </c>
      <c r="H10" s="74">
        <f>SUM(H7:H9)</f>
        <v>0</v>
      </c>
      <c r="I10" s="74">
        <f t="shared" ref="I10:P10" si="1">SUM(I7:I9)</f>
        <v>1800000</v>
      </c>
      <c r="J10" s="74">
        <f t="shared" si="1"/>
        <v>0</v>
      </c>
      <c r="K10" s="74">
        <f t="shared" si="1"/>
        <v>1800000</v>
      </c>
      <c r="L10" s="74">
        <f t="shared" si="1"/>
        <v>0</v>
      </c>
      <c r="M10" s="74">
        <f t="shared" si="1"/>
        <v>1800000</v>
      </c>
      <c r="N10" s="74">
        <f t="shared" si="1"/>
        <v>0</v>
      </c>
      <c r="O10" s="74">
        <f t="shared" si="1"/>
        <v>1800000</v>
      </c>
      <c r="P10" s="74">
        <f t="shared" si="1"/>
        <v>0</v>
      </c>
      <c r="Q10" s="74">
        <f>SUM(E10:P10)</f>
        <v>7200000</v>
      </c>
      <c r="R10" s="1"/>
    </row>
    <row r="11" spans="1:18">
      <c r="A11" t="s">
        <v>22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t="s">
        <v>33</v>
      </c>
      <c r="E12" s="26">
        <f>'Capital forecast'!E6</f>
        <v>500000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f t="shared" si="0"/>
        <v>500000</v>
      </c>
      <c r="R12" s="1"/>
    </row>
    <row r="13" spans="1:18">
      <c r="A13" t="s">
        <v>34</v>
      </c>
      <c r="E13" s="26">
        <f>'Capital forecast'!E7+'Capital forecast'!E8</f>
        <v>520000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 t="shared" si="0"/>
        <v>520000</v>
      </c>
      <c r="R13" s="1"/>
    </row>
    <row r="14" spans="1:18">
      <c r="A14" t="s">
        <v>100</v>
      </c>
      <c r="D14" s="20"/>
      <c r="E14" s="1">
        <f>'Capital forecast'!E12</f>
        <v>90000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 t="shared" si="0"/>
        <v>90000</v>
      </c>
      <c r="R14" s="1"/>
    </row>
    <row r="15" spans="1:18">
      <c r="A15" t="s">
        <v>99</v>
      </c>
      <c r="B15" t="s">
        <v>172</v>
      </c>
      <c r="E15" s="1">
        <f>'Unit cost and price'!D3*2/1000</f>
        <v>384000</v>
      </c>
      <c r="F15" s="1">
        <f>E15</f>
        <v>384000</v>
      </c>
      <c r="G15" s="1">
        <f>F15</f>
        <v>384000</v>
      </c>
      <c r="H15" s="1">
        <f t="shared" ref="H15:P15" si="2">G15</f>
        <v>384000</v>
      </c>
      <c r="I15" s="1">
        <f>H15</f>
        <v>384000</v>
      </c>
      <c r="J15" s="1">
        <f t="shared" si="2"/>
        <v>384000</v>
      </c>
      <c r="K15" s="1">
        <f t="shared" si="2"/>
        <v>384000</v>
      </c>
      <c r="L15" s="1">
        <f t="shared" si="2"/>
        <v>384000</v>
      </c>
      <c r="M15" s="1">
        <f t="shared" si="2"/>
        <v>384000</v>
      </c>
      <c r="N15" s="1">
        <f t="shared" si="2"/>
        <v>384000</v>
      </c>
      <c r="O15" s="1">
        <f t="shared" si="2"/>
        <v>384000</v>
      </c>
      <c r="P15" s="1">
        <f t="shared" si="2"/>
        <v>384000</v>
      </c>
      <c r="Q15" s="1">
        <f>SUM(E15:P15)</f>
        <v>4608000</v>
      </c>
      <c r="R15" s="1"/>
    </row>
    <row r="16" spans="1:18">
      <c r="A16" t="s">
        <v>292</v>
      </c>
      <c r="B16" t="s">
        <v>157</v>
      </c>
      <c r="E16" s="1">
        <f>'Unit cost and price'!D4*2/1000</f>
        <v>120000</v>
      </c>
      <c r="F16" s="1">
        <f t="shared" ref="F16:P21" si="3">E16</f>
        <v>120000</v>
      </c>
      <c r="G16" s="1">
        <f t="shared" si="3"/>
        <v>120000</v>
      </c>
      <c r="H16" s="1">
        <f t="shared" si="3"/>
        <v>120000</v>
      </c>
      <c r="I16" s="1">
        <f t="shared" si="3"/>
        <v>120000</v>
      </c>
      <c r="J16" s="1">
        <f t="shared" si="3"/>
        <v>120000</v>
      </c>
      <c r="K16" s="1">
        <f t="shared" si="3"/>
        <v>120000</v>
      </c>
      <c r="L16" s="1">
        <f t="shared" si="3"/>
        <v>120000</v>
      </c>
      <c r="M16" s="1">
        <f t="shared" si="3"/>
        <v>120000</v>
      </c>
      <c r="N16" s="1">
        <f t="shared" si="3"/>
        <v>120000</v>
      </c>
      <c r="O16" s="1">
        <f t="shared" si="3"/>
        <v>120000</v>
      </c>
      <c r="P16" s="1">
        <f t="shared" si="3"/>
        <v>120000</v>
      </c>
      <c r="Q16" s="1">
        <f t="shared" si="0"/>
        <v>1440000</v>
      </c>
      <c r="R16" s="1"/>
    </row>
    <row r="17" spans="1:18">
      <c r="A17" t="s">
        <v>102</v>
      </c>
      <c r="B17" t="s">
        <v>158</v>
      </c>
      <c r="E17" s="26">
        <f>'Unit cost and price'!D5*2/1000</f>
        <v>24000</v>
      </c>
      <c r="F17" s="1">
        <f t="shared" si="3"/>
        <v>24000</v>
      </c>
      <c r="G17" s="1">
        <f t="shared" si="3"/>
        <v>24000</v>
      </c>
      <c r="H17" s="1">
        <f t="shared" si="3"/>
        <v>24000</v>
      </c>
      <c r="I17" s="1">
        <f t="shared" si="3"/>
        <v>24000</v>
      </c>
      <c r="J17" s="1">
        <f t="shared" si="3"/>
        <v>24000</v>
      </c>
      <c r="K17" s="1">
        <f t="shared" si="3"/>
        <v>24000</v>
      </c>
      <c r="L17" s="1">
        <f t="shared" si="3"/>
        <v>24000</v>
      </c>
      <c r="M17" s="1">
        <f t="shared" si="3"/>
        <v>24000</v>
      </c>
      <c r="N17" s="1">
        <f t="shared" si="3"/>
        <v>24000</v>
      </c>
      <c r="O17" s="1">
        <f t="shared" si="3"/>
        <v>24000</v>
      </c>
      <c r="P17" s="1">
        <f t="shared" si="3"/>
        <v>24000</v>
      </c>
      <c r="Q17" s="1">
        <f t="shared" si="0"/>
        <v>288000</v>
      </c>
      <c r="R17" s="1"/>
    </row>
    <row r="18" spans="1:18">
      <c r="A18" t="s">
        <v>192</v>
      </c>
      <c r="B18" t="s">
        <v>156</v>
      </c>
      <c r="E18" s="1">
        <f>'Unit cost and price'!D6*2/1000</f>
        <v>63000</v>
      </c>
      <c r="F18" s="1">
        <f t="shared" si="3"/>
        <v>63000</v>
      </c>
      <c r="G18" s="1">
        <f t="shared" si="3"/>
        <v>63000</v>
      </c>
      <c r="H18" s="1">
        <f t="shared" si="3"/>
        <v>63000</v>
      </c>
      <c r="I18" s="1">
        <f t="shared" si="3"/>
        <v>63000</v>
      </c>
      <c r="J18" s="1">
        <f t="shared" si="3"/>
        <v>63000</v>
      </c>
      <c r="K18" s="1">
        <f t="shared" si="3"/>
        <v>63000</v>
      </c>
      <c r="L18" s="1">
        <f t="shared" si="3"/>
        <v>63000</v>
      </c>
      <c r="M18" s="1">
        <f t="shared" si="3"/>
        <v>63000</v>
      </c>
      <c r="N18" s="1">
        <f t="shared" si="3"/>
        <v>63000</v>
      </c>
      <c r="O18" s="1">
        <f t="shared" si="3"/>
        <v>63000</v>
      </c>
      <c r="P18" s="1">
        <f t="shared" si="3"/>
        <v>63000</v>
      </c>
      <c r="Q18" s="1">
        <f t="shared" si="0"/>
        <v>756000</v>
      </c>
      <c r="R18" s="1"/>
    </row>
    <row r="19" spans="1:18">
      <c r="A19" t="s">
        <v>200</v>
      </c>
      <c r="B19" t="s">
        <v>164</v>
      </c>
      <c r="E19" s="1">
        <f>'Unit cost and price'!D7*2/1000</f>
        <v>200000</v>
      </c>
      <c r="F19" s="1">
        <f t="shared" si="3"/>
        <v>200000</v>
      </c>
      <c r="G19" s="1">
        <f t="shared" si="3"/>
        <v>200000</v>
      </c>
      <c r="H19" s="1">
        <f t="shared" si="3"/>
        <v>200000</v>
      </c>
      <c r="I19" s="1">
        <f t="shared" si="3"/>
        <v>200000</v>
      </c>
      <c r="J19" s="1">
        <f t="shared" si="3"/>
        <v>200000</v>
      </c>
      <c r="K19" s="1">
        <f t="shared" si="3"/>
        <v>200000</v>
      </c>
      <c r="L19" s="1">
        <f t="shared" si="3"/>
        <v>200000</v>
      </c>
      <c r="M19" s="1">
        <f t="shared" si="3"/>
        <v>200000</v>
      </c>
      <c r="N19" s="1">
        <f t="shared" si="3"/>
        <v>200000</v>
      </c>
      <c r="O19" s="1">
        <f t="shared" si="3"/>
        <v>200000</v>
      </c>
      <c r="P19" s="1">
        <f t="shared" si="3"/>
        <v>200000</v>
      </c>
      <c r="Q19" s="1">
        <f t="shared" si="0"/>
        <v>2400000</v>
      </c>
      <c r="R19" s="1"/>
    </row>
    <row r="20" spans="1:18">
      <c r="A20" t="s">
        <v>117</v>
      </c>
      <c r="B20" t="s">
        <v>159</v>
      </c>
      <c r="E20" s="1">
        <f>'Unit cost and price'!D8/1000</f>
        <v>7500</v>
      </c>
      <c r="F20" s="1">
        <f t="shared" si="3"/>
        <v>7500</v>
      </c>
      <c r="G20" s="1">
        <f t="shared" si="3"/>
        <v>7500</v>
      </c>
      <c r="H20" s="1">
        <f t="shared" si="3"/>
        <v>7500</v>
      </c>
      <c r="I20" s="1">
        <f t="shared" si="3"/>
        <v>7500</v>
      </c>
      <c r="J20" s="1">
        <f t="shared" si="3"/>
        <v>7500</v>
      </c>
      <c r="K20" s="1">
        <f t="shared" si="3"/>
        <v>7500</v>
      </c>
      <c r="L20" s="1">
        <f t="shared" si="3"/>
        <v>7500</v>
      </c>
      <c r="M20" s="1">
        <f t="shared" si="3"/>
        <v>7500</v>
      </c>
      <c r="N20" s="1">
        <f t="shared" si="3"/>
        <v>7500</v>
      </c>
      <c r="O20" s="1">
        <f t="shared" si="3"/>
        <v>7500</v>
      </c>
      <c r="P20" s="1">
        <f t="shared" si="3"/>
        <v>7500</v>
      </c>
      <c r="Q20" s="1">
        <f t="shared" si="0"/>
        <v>90000</v>
      </c>
      <c r="R20" s="1"/>
    </row>
    <row r="21" spans="1:18">
      <c r="A21" t="s">
        <v>35</v>
      </c>
      <c r="B21" t="s">
        <v>36</v>
      </c>
      <c r="E21" s="26">
        <v>10000</v>
      </c>
      <c r="F21" s="1">
        <f t="shared" si="3"/>
        <v>10000</v>
      </c>
      <c r="G21" s="1">
        <f t="shared" si="3"/>
        <v>10000</v>
      </c>
      <c r="H21" s="1">
        <f t="shared" si="3"/>
        <v>10000</v>
      </c>
      <c r="I21" s="1">
        <f t="shared" si="3"/>
        <v>10000</v>
      </c>
      <c r="J21" s="1">
        <f t="shared" si="3"/>
        <v>10000</v>
      </c>
      <c r="K21" s="1">
        <f t="shared" si="3"/>
        <v>10000</v>
      </c>
      <c r="L21" s="1">
        <f t="shared" si="3"/>
        <v>10000</v>
      </c>
      <c r="M21" s="1">
        <f t="shared" si="3"/>
        <v>10000</v>
      </c>
      <c r="N21" s="1">
        <f t="shared" si="3"/>
        <v>10000</v>
      </c>
      <c r="O21" s="1">
        <f t="shared" si="3"/>
        <v>10000</v>
      </c>
      <c r="P21" s="1">
        <f t="shared" si="3"/>
        <v>10000</v>
      </c>
      <c r="Q21" s="1">
        <f t="shared" si="0"/>
        <v>120000</v>
      </c>
      <c r="R21" s="1"/>
    </row>
    <row r="22" spans="1:18">
      <c r="A22" t="s">
        <v>168</v>
      </c>
      <c r="B22" t="s">
        <v>170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 t="shared" si="0"/>
        <v>0</v>
      </c>
      <c r="R22" s="1"/>
    </row>
    <row r="23" spans="1:18">
      <c r="A23" t="s">
        <v>169</v>
      </c>
      <c r="B23" t="s">
        <v>171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 t="shared" si="0"/>
        <v>0</v>
      </c>
      <c r="R23" s="1"/>
    </row>
    <row r="24" spans="1:18">
      <c r="A24" t="s">
        <v>5</v>
      </c>
      <c r="E24" s="26">
        <f>Interest!$H$5+Interest!$D$3</f>
        <v>26900</v>
      </c>
      <c r="F24" s="26">
        <f>Interest!$H$5+Interest!$D$3</f>
        <v>26900</v>
      </c>
      <c r="G24" s="26">
        <f>Interest!$H$5+Interest!$D$3</f>
        <v>26900</v>
      </c>
      <c r="H24" s="26">
        <f>Interest!$H$5+Interest!$D$3</f>
        <v>26900</v>
      </c>
      <c r="I24" s="26">
        <f>Interest!$H$5+Interest!$D$3</f>
        <v>26900</v>
      </c>
      <c r="J24" s="26">
        <f>Interest!$H$5+Interest!$D$3</f>
        <v>26900</v>
      </c>
      <c r="K24" s="26">
        <f>Interest!$H$5+Interest!$D$3</f>
        <v>26900</v>
      </c>
      <c r="L24" s="26">
        <f>Interest!$H$5+Interest!$D$3</f>
        <v>26900</v>
      </c>
      <c r="M24" s="26">
        <f>Interest!$H$5+Interest!$D$3</f>
        <v>26900</v>
      </c>
      <c r="N24" s="26">
        <f>Interest!$H$5+Interest!$D$3</f>
        <v>26900</v>
      </c>
      <c r="O24" s="26">
        <f>Interest!$H$5+Interest!$D$3</f>
        <v>26900</v>
      </c>
      <c r="P24" s="26">
        <f>Interest!$H$5+Interest!$D$3</f>
        <v>26900</v>
      </c>
      <c r="Q24" s="1">
        <f t="shared" si="0"/>
        <v>322800</v>
      </c>
      <c r="R24" s="1"/>
    </row>
    <row r="25" spans="1:18">
      <c r="A25" s="4" t="s">
        <v>23</v>
      </c>
      <c r="B25" s="4"/>
      <c r="C25" s="4"/>
      <c r="D25" s="4"/>
      <c r="E25" s="68">
        <f>SUM(E12:E24)</f>
        <v>1945400</v>
      </c>
      <c r="F25" s="68">
        <f t="shared" ref="F25:Q25" si="4">SUM(F12:F24)</f>
        <v>835400</v>
      </c>
      <c r="G25" s="68">
        <f t="shared" si="4"/>
        <v>835400</v>
      </c>
      <c r="H25" s="68">
        <f t="shared" si="4"/>
        <v>835400</v>
      </c>
      <c r="I25" s="68">
        <f t="shared" si="4"/>
        <v>835400</v>
      </c>
      <c r="J25" s="68">
        <f t="shared" si="4"/>
        <v>835400</v>
      </c>
      <c r="K25" s="68">
        <f t="shared" si="4"/>
        <v>835400</v>
      </c>
      <c r="L25" s="68">
        <f t="shared" si="4"/>
        <v>835400</v>
      </c>
      <c r="M25" s="68">
        <f t="shared" si="4"/>
        <v>835400</v>
      </c>
      <c r="N25" s="68">
        <f t="shared" si="4"/>
        <v>835400</v>
      </c>
      <c r="O25" s="68">
        <f t="shared" si="4"/>
        <v>835400</v>
      </c>
      <c r="P25" s="68">
        <f t="shared" si="4"/>
        <v>835400</v>
      </c>
      <c r="Q25" s="68">
        <f t="shared" si="4"/>
        <v>11134800</v>
      </c>
      <c r="R25" s="1"/>
    </row>
    <row r="26" spans="1:18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4" t="s">
        <v>24</v>
      </c>
      <c r="B27" s="4"/>
      <c r="C27" s="4"/>
      <c r="D27" s="4"/>
      <c r="E27" s="2">
        <f>E10-E25</f>
        <v>-1945400</v>
      </c>
      <c r="F27" s="2">
        <f>F10-F25</f>
        <v>-835400</v>
      </c>
      <c r="G27" s="2">
        <f>G10-G25</f>
        <v>-835400</v>
      </c>
      <c r="H27" s="2">
        <f t="shared" ref="H27:Q27" si="5">H10-H25</f>
        <v>-835400</v>
      </c>
      <c r="I27" s="2">
        <f t="shared" si="5"/>
        <v>964600</v>
      </c>
      <c r="J27" s="2">
        <f t="shared" si="5"/>
        <v>-835400</v>
      </c>
      <c r="K27" s="2">
        <f t="shared" si="5"/>
        <v>964600</v>
      </c>
      <c r="L27" s="2">
        <f t="shared" si="5"/>
        <v>-835400</v>
      </c>
      <c r="M27" s="2">
        <f t="shared" si="5"/>
        <v>964600</v>
      </c>
      <c r="N27" s="2">
        <f t="shared" si="5"/>
        <v>-835400</v>
      </c>
      <c r="O27" s="2">
        <f t="shared" si="5"/>
        <v>964600</v>
      </c>
      <c r="P27" s="2">
        <f t="shared" si="5"/>
        <v>-835400</v>
      </c>
      <c r="Q27" s="2">
        <f t="shared" si="5"/>
        <v>-3934800</v>
      </c>
      <c r="R27" s="1"/>
    </row>
    <row r="28" spans="1:18">
      <c r="A28" t="s">
        <v>25</v>
      </c>
      <c r="D28" s="27">
        <f>'BS 2006-07'!F13</f>
        <v>-999000</v>
      </c>
      <c r="E28" s="1">
        <f>D28</f>
        <v>-999000</v>
      </c>
      <c r="F28" s="1">
        <f t="shared" ref="F28:P28" si="6">E29</f>
        <v>-2944400</v>
      </c>
      <c r="G28" s="1">
        <f t="shared" si="6"/>
        <v>-3779800</v>
      </c>
      <c r="H28" s="1">
        <f t="shared" si="6"/>
        <v>-4615200</v>
      </c>
      <c r="I28" s="1">
        <f t="shared" si="6"/>
        <v>-5450600</v>
      </c>
      <c r="J28" s="1">
        <f t="shared" si="6"/>
        <v>-4486000</v>
      </c>
      <c r="K28" s="1">
        <f t="shared" si="6"/>
        <v>-5321400</v>
      </c>
      <c r="L28" s="1">
        <f t="shared" si="6"/>
        <v>-4356800</v>
      </c>
      <c r="M28" s="1">
        <f t="shared" si="6"/>
        <v>-5192200</v>
      </c>
      <c r="N28" s="1">
        <f t="shared" si="6"/>
        <v>-4227600</v>
      </c>
      <c r="O28" s="1">
        <f t="shared" si="6"/>
        <v>-5063000</v>
      </c>
      <c r="P28" s="1">
        <f t="shared" si="6"/>
        <v>-4098400</v>
      </c>
      <c r="Q28" s="1">
        <f>E28</f>
        <v>-999000</v>
      </c>
      <c r="R28" s="1"/>
    </row>
    <row r="29" spans="1:18" ht="15" thickBot="1">
      <c r="A29" s="4" t="s">
        <v>26</v>
      </c>
      <c r="E29" s="109">
        <f>E27+E28</f>
        <v>-2944400</v>
      </c>
      <c r="F29" s="109">
        <f t="shared" ref="F29:P29" si="7">F27+F28</f>
        <v>-3779800</v>
      </c>
      <c r="G29" s="109">
        <f t="shared" si="7"/>
        <v>-4615200</v>
      </c>
      <c r="H29" s="109">
        <f t="shared" si="7"/>
        <v>-5450600</v>
      </c>
      <c r="I29" s="109">
        <f t="shared" si="7"/>
        <v>-4486000</v>
      </c>
      <c r="J29" s="109">
        <f t="shared" si="7"/>
        <v>-5321400</v>
      </c>
      <c r="K29" s="109">
        <f t="shared" si="7"/>
        <v>-4356800</v>
      </c>
      <c r="L29" s="109">
        <f t="shared" si="7"/>
        <v>-5192200</v>
      </c>
      <c r="M29" s="109">
        <f t="shared" si="7"/>
        <v>-4227600</v>
      </c>
      <c r="N29" s="109">
        <f t="shared" si="7"/>
        <v>-5063000</v>
      </c>
      <c r="O29" s="109">
        <f t="shared" si="7"/>
        <v>-4098400</v>
      </c>
      <c r="P29" s="109">
        <f t="shared" si="7"/>
        <v>-4933800</v>
      </c>
      <c r="Q29" s="109">
        <f>SUM(Q27:Q28)</f>
        <v>-4933800</v>
      </c>
      <c r="R29" s="1"/>
    </row>
    <row r="30" spans="1:18" ht="15" thickTop="1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6"/>
      <c r="B31" s="1" t="s">
        <v>215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</sheetData>
  <mergeCells count="1">
    <mergeCell ref="E1:Q1"/>
  </mergeCells>
  <phoneticPr fontId="10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R31"/>
  <sheetViews>
    <sheetView topLeftCell="D3" workbookViewId="0">
      <selection activeCell="E29" sqref="E29:Q29"/>
    </sheetView>
  </sheetViews>
  <sheetFormatPr baseColWidth="10" defaultColWidth="8.83203125" defaultRowHeight="14"/>
  <cols>
    <col min="1" max="1" width="27.5" customWidth="1"/>
    <col min="2" max="2" width="27.6640625" customWidth="1"/>
    <col min="3" max="3" width="1" customWidth="1"/>
    <col min="4" max="4" width="10.1640625" customWidth="1"/>
    <col min="5" max="5" width="11.5" customWidth="1"/>
    <col min="6" max="6" width="12.1640625" customWidth="1"/>
    <col min="7" max="7" width="12" customWidth="1"/>
    <col min="8" max="8" width="11.5" customWidth="1"/>
    <col min="9" max="9" width="11.6640625" customWidth="1"/>
    <col min="10" max="10" width="11.83203125" customWidth="1"/>
    <col min="11" max="11" width="12.1640625" customWidth="1"/>
    <col min="12" max="12" width="11.6640625" customWidth="1"/>
    <col min="13" max="13" width="12" customWidth="1"/>
    <col min="14" max="14" width="12.6640625" customWidth="1"/>
    <col min="15" max="15" width="12.83203125" customWidth="1"/>
    <col min="16" max="16" width="12.33203125" customWidth="1"/>
    <col min="17" max="17" width="12.5" customWidth="1"/>
  </cols>
  <sheetData>
    <row r="1" spans="1:18">
      <c r="A1" t="s">
        <v>304</v>
      </c>
      <c r="E1" s="123" t="s">
        <v>77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3" spans="1:18" s="103" customFormat="1">
      <c r="A3" s="103" t="s">
        <v>173</v>
      </c>
      <c r="B3" s="103" t="s">
        <v>174</v>
      </c>
      <c r="E3" s="103" t="s">
        <v>305</v>
      </c>
      <c r="F3" s="103" t="s">
        <v>306</v>
      </c>
      <c r="G3" s="103" t="s">
        <v>307</v>
      </c>
      <c r="H3" s="103" t="s">
        <v>308</v>
      </c>
      <c r="I3" s="103" t="s">
        <v>309</v>
      </c>
      <c r="J3" s="103" t="s">
        <v>310</v>
      </c>
      <c r="K3" s="103" t="s">
        <v>311</v>
      </c>
      <c r="L3" s="103" t="s">
        <v>312</v>
      </c>
      <c r="M3" s="103" t="s">
        <v>313</v>
      </c>
      <c r="N3" s="103" t="s">
        <v>43</v>
      </c>
      <c r="O3" s="103" t="s">
        <v>315</v>
      </c>
      <c r="P3" s="103" t="s">
        <v>316</v>
      </c>
      <c r="Q3" s="103" t="s">
        <v>196</v>
      </c>
    </row>
    <row r="4" spans="1:18" hidden="1">
      <c r="A4" t="s">
        <v>317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f>SUM(E4:P4)</f>
        <v>24</v>
      </c>
      <c r="R4" s="1"/>
    </row>
    <row r="5" spans="1:18" hidden="1">
      <c r="A5" t="s">
        <v>318</v>
      </c>
      <c r="E5" s="1"/>
      <c r="F5" s="1">
        <v>4</v>
      </c>
      <c r="G5" s="1"/>
      <c r="H5" s="1">
        <v>4</v>
      </c>
      <c r="I5" s="1"/>
      <c r="J5" s="1">
        <v>4</v>
      </c>
      <c r="K5" s="1"/>
      <c r="L5" s="1">
        <v>4</v>
      </c>
      <c r="M5" s="1"/>
      <c r="N5" s="1">
        <v>4</v>
      </c>
      <c r="O5" s="1"/>
      <c r="P5" s="1">
        <v>4</v>
      </c>
      <c r="Q5" s="1">
        <f>SUM(E5:P5)</f>
        <v>24</v>
      </c>
      <c r="R5" s="1"/>
    </row>
    <row r="6" spans="1:18" hidden="1">
      <c r="A6" t="s">
        <v>165</v>
      </c>
      <c r="E6" s="46"/>
      <c r="F6" s="46">
        <v>450000</v>
      </c>
      <c r="G6" s="46"/>
      <c r="H6" s="46">
        <f>F6</f>
        <v>450000</v>
      </c>
      <c r="I6" s="46"/>
      <c r="J6" s="46">
        <f>H6</f>
        <v>450000</v>
      </c>
      <c r="K6" s="46"/>
      <c r="L6" s="46">
        <f>J6</f>
        <v>450000</v>
      </c>
      <c r="M6" s="46"/>
      <c r="N6" s="46">
        <f>L6</f>
        <v>450000</v>
      </c>
      <c r="O6" s="46"/>
      <c r="P6" s="46">
        <f>N6</f>
        <v>450000</v>
      </c>
      <c r="Q6" s="46"/>
      <c r="R6" s="1"/>
    </row>
    <row r="7" spans="1:18">
      <c r="A7" t="s">
        <v>179</v>
      </c>
      <c r="B7" s="19"/>
      <c r="C7" s="19"/>
      <c r="D7" s="19"/>
      <c r="E7" s="8">
        <f>E4*E6</f>
        <v>0</v>
      </c>
      <c r="H7" s="8">
        <f>'Year 1 IS Projection'!E7+'Year 1 IS Projection'!F7</f>
        <v>1800000</v>
      </c>
      <c r="J7" s="8">
        <f>'Year 1 IS Projection'!G7+'Year 1 IS Projection'!H7</f>
        <v>1800000</v>
      </c>
      <c r="L7" s="8">
        <f>'Year 1 IS Projection'!I7+'Year 1 IS Projection'!J7</f>
        <v>1800000</v>
      </c>
      <c r="N7" s="8">
        <f>'Year 1 IS Projection'!K7+'Year 1 IS Projection'!L7</f>
        <v>1800000</v>
      </c>
      <c r="P7" s="8">
        <f>'Year 1 IS Projection'!M7+'Year 1 IS Projection'!N7</f>
        <v>1800000</v>
      </c>
      <c r="Q7" s="8">
        <f>SUM(E7:P7)</f>
        <v>9000000</v>
      </c>
      <c r="R7" s="1"/>
    </row>
    <row r="8" spans="1:18">
      <c r="A8" t="s">
        <v>282</v>
      </c>
      <c r="E8" s="2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ref="Q8:Q24" si="0">SUM(E8:P8)</f>
        <v>0</v>
      </c>
      <c r="R8" s="1"/>
    </row>
    <row r="9" spans="1:18">
      <c r="A9" t="s">
        <v>180</v>
      </c>
      <c r="E9" s="2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0</v>
      </c>
      <c r="R9" s="1"/>
    </row>
    <row r="10" spans="1:18">
      <c r="A10" s="18" t="s">
        <v>21</v>
      </c>
      <c r="B10" s="18"/>
      <c r="C10" s="18"/>
      <c r="D10" s="18"/>
      <c r="E10" s="74">
        <f>SUM(E7:E9)</f>
        <v>0</v>
      </c>
      <c r="F10" s="74">
        <f>SUM(F7:F9)</f>
        <v>0</v>
      </c>
      <c r="G10" s="74">
        <f>SUM(G7:G9)</f>
        <v>0</v>
      </c>
      <c r="H10" s="74">
        <f>SUM(H7:H9)</f>
        <v>1800000</v>
      </c>
      <c r="I10" s="74">
        <f t="shared" ref="I10:P10" si="1">SUM(I7:I9)</f>
        <v>0</v>
      </c>
      <c r="J10" s="74">
        <f t="shared" si="1"/>
        <v>1800000</v>
      </c>
      <c r="K10" s="74">
        <f t="shared" si="1"/>
        <v>0</v>
      </c>
      <c r="L10" s="74">
        <f t="shared" si="1"/>
        <v>1800000</v>
      </c>
      <c r="M10" s="74">
        <f t="shared" si="1"/>
        <v>0</v>
      </c>
      <c r="N10" s="74">
        <f t="shared" si="1"/>
        <v>1800000</v>
      </c>
      <c r="O10" s="74">
        <f t="shared" si="1"/>
        <v>0</v>
      </c>
      <c r="P10" s="74">
        <f t="shared" si="1"/>
        <v>1800000</v>
      </c>
      <c r="Q10" s="74">
        <f>SUM(E10:P10)</f>
        <v>9000000</v>
      </c>
      <c r="R10" s="1"/>
    </row>
    <row r="11" spans="1:18">
      <c r="A11" t="s">
        <v>22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t="s">
        <v>33</v>
      </c>
      <c r="E12" s="26">
        <f>'Capital forecast'!E6-500000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f t="shared" si="0"/>
        <v>0</v>
      </c>
      <c r="R12" s="1"/>
    </row>
    <row r="13" spans="1:18">
      <c r="A13" t="s">
        <v>34</v>
      </c>
      <c r="E13" s="26">
        <f>'Capital forecast'!E7+'Capital forecast'!E8-350000</f>
        <v>170000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 t="shared" si="0"/>
        <v>170000</v>
      </c>
      <c r="R13" s="1"/>
    </row>
    <row r="14" spans="1:18">
      <c r="A14" t="s">
        <v>100</v>
      </c>
      <c r="D14" s="92"/>
      <c r="E14" s="1">
        <f>'Capital forecast'!E12</f>
        <v>90000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 t="shared" si="0"/>
        <v>90000</v>
      </c>
      <c r="R14" s="1"/>
    </row>
    <row r="15" spans="1:18">
      <c r="A15" t="s">
        <v>99</v>
      </c>
      <c r="B15" t="s">
        <v>172</v>
      </c>
      <c r="E15" s="1">
        <f>'Unit cost and price'!D3*2/1000</f>
        <v>384000</v>
      </c>
      <c r="F15" s="1">
        <f>E15</f>
        <v>384000</v>
      </c>
      <c r="G15" s="1">
        <f>F15</f>
        <v>384000</v>
      </c>
      <c r="H15" s="1">
        <f t="shared" ref="H15:P15" si="2">G15</f>
        <v>384000</v>
      </c>
      <c r="I15" s="1">
        <f>H15</f>
        <v>384000</v>
      </c>
      <c r="J15" s="1">
        <f t="shared" si="2"/>
        <v>384000</v>
      </c>
      <c r="K15" s="1">
        <f t="shared" si="2"/>
        <v>384000</v>
      </c>
      <c r="L15" s="1">
        <f t="shared" si="2"/>
        <v>384000</v>
      </c>
      <c r="M15" s="1">
        <f t="shared" si="2"/>
        <v>384000</v>
      </c>
      <c r="N15" s="1">
        <f t="shared" si="2"/>
        <v>384000</v>
      </c>
      <c r="O15" s="1">
        <f t="shared" si="2"/>
        <v>384000</v>
      </c>
      <c r="P15" s="1">
        <f t="shared" si="2"/>
        <v>384000</v>
      </c>
      <c r="Q15" s="1">
        <f>SUM(E15:P15)</f>
        <v>4608000</v>
      </c>
      <c r="R15" s="1"/>
    </row>
    <row r="16" spans="1:18">
      <c r="A16" t="s">
        <v>292</v>
      </c>
      <c r="B16" t="s">
        <v>157</v>
      </c>
      <c r="E16" s="1">
        <f>'Unit cost and price'!D4*2/1000</f>
        <v>120000</v>
      </c>
      <c r="F16" s="1">
        <f t="shared" ref="F16:P21" si="3">E16</f>
        <v>120000</v>
      </c>
      <c r="G16" s="1">
        <f t="shared" si="3"/>
        <v>120000</v>
      </c>
      <c r="H16" s="1">
        <f t="shared" si="3"/>
        <v>120000</v>
      </c>
      <c r="I16" s="1">
        <f t="shared" si="3"/>
        <v>120000</v>
      </c>
      <c r="J16" s="1">
        <f t="shared" si="3"/>
        <v>120000</v>
      </c>
      <c r="K16" s="1">
        <f t="shared" si="3"/>
        <v>120000</v>
      </c>
      <c r="L16" s="1">
        <f t="shared" si="3"/>
        <v>120000</v>
      </c>
      <c r="M16" s="1">
        <f t="shared" si="3"/>
        <v>120000</v>
      </c>
      <c r="N16" s="1">
        <f t="shared" si="3"/>
        <v>120000</v>
      </c>
      <c r="O16" s="1">
        <f t="shared" si="3"/>
        <v>120000</v>
      </c>
      <c r="P16" s="1">
        <f t="shared" si="3"/>
        <v>120000</v>
      </c>
      <c r="Q16" s="1">
        <f t="shared" si="0"/>
        <v>1440000</v>
      </c>
      <c r="R16" s="1"/>
    </row>
    <row r="17" spans="1:18">
      <c r="A17" t="s">
        <v>102</v>
      </c>
      <c r="B17" t="s">
        <v>158</v>
      </c>
      <c r="E17" s="26">
        <f>6000+'Unit cost and price'!D5*2/1000</f>
        <v>30000</v>
      </c>
      <c r="F17" s="1">
        <f t="shared" si="3"/>
        <v>30000</v>
      </c>
      <c r="G17" s="1">
        <f t="shared" si="3"/>
        <v>30000</v>
      </c>
      <c r="H17" s="1">
        <f t="shared" si="3"/>
        <v>30000</v>
      </c>
      <c r="I17" s="1">
        <f t="shared" si="3"/>
        <v>30000</v>
      </c>
      <c r="J17" s="1">
        <f t="shared" si="3"/>
        <v>30000</v>
      </c>
      <c r="K17" s="1">
        <f t="shared" si="3"/>
        <v>30000</v>
      </c>
      <c r="L17" s="1">
        <f t="shared" si="3"/>
        <v>30000</v>
      </c>
      <c r="M17" s="1">
        <f t="shared" si="3"/>
        <v>30000</v>
      </c>
      <c r="N17" s="1">
        <f t="shared" si="3"/>
        <v>30000</v>
      </c>
      <c r="O17" s="1">
        <f t="shared" si="3"/>
        <v>30000</v>
      </c>
      <c r="P17" s="1">
        <f t="shared" si="3"/>
        <v>30000</v>
      </c>
      <c r="Q17" s="1">
        <f t="shared" si="0"/>
        <v>360000</v>
      </c>
      <c r="R17" s="1"/>
    </row>
    <row r="18" spans="1:18">
      <c r="A18" t="s">
        <v>192</v>
      </c>
      <c r="B18" t="s">
        <v>156</v>
      </c>
      <c r="E18" s="1">
        <f>'Unit cost and price'!D6*2/1000</f>
        <v>63000</v>
      </c>
      <c r="F18" s="1">
        <f t="shared" si="3"/>
        <v>63000</v>
      </c>
      <c r="G18" s="1">
        <f t="shared" si="3"/>
        <v>63000</v>
      </c>
      <c r="H18" s="1">
        <f t="shared" si="3"/>
        <v>63000</v>
      </c>
      <c r="I18" s="1">
        <f t="shared" si="3"/>
        <v>63000</v>
      </c>
      <c r="J18" s="1">
        <f t="shared" si="3"/>
        <v>63000</v>
      </c>
      <c r="K18" s="1">
        <f t="shared" si="3"/>
        <v>63000</v>
      </c>
      <c r="L18" s="1">
        <f t="shared" si="3"/>
        <v>63000</v>
      </c>
      <c r="M18" s="1">
        <f t="shared" si="3"/>
        <v>63000</v>
      </c>
      <c r="N18" s="1">
        <f t="shared" si="3"/>
        <v>63000</v>
      </c>
      <c r="O18" s="1">
        <f t="shared" si="3"/>
        <v>63000</v>
      </c>
      <c r="P18" s="1">
        <f t="shared" si="3"/>
        <v>63000</v>
      </c>
      <c r="Q18" s="1">
        <f t="shared" si="0"/>
        <v>756000</v>
      </c>
      <c r="R18" s="1"/>
    </row>
    <row r="19" spans="1:18">
      <c r="A19" t="s">
        <v>200</v>
      </c>
      <c r="B19" t="s">
        <v>164</v>
      </c>
      <c r="E19" s="1">
        <f>'Unit cost and price'!D7*2/1000</f>
        <v>200000</v>
      </c>
      <c r="F19" s="1">
        <f t="shared" si="3"/>
        <v>200000</v>
      </c>
      <c r="G19" s="1">
        <f t="shared" si="3"/>
        <v>200000</v>
      </c>
      <c r="H19" s="1">
        <f t="shared" si="3"/>
        <v>200000</v>
      </c>
      <c r="I19" s="1">
        <f t="shared" si="3"/>
        <v>200000</v>
      </c>
      <c r="J19" s="1">
        <f t="shared" si="3"/>
        <v>200000</v>
      </c>
      <c r="K19" s="1">
        <f t="shared" si="3"/>
        <v>200000</v>
      </c>
      <c r="L19" s="1">
        <f t="shared" si="3"/>
        <v>200000</v>
      </c>
      <c r="M19" s="1">
        <f t="shared" si="3"/>
        <v>200000</v>
      </c>
      <c r="N19" s="1">
        <f t="shared" si="3"/>
        <v>200000</v>
      </c>
      <c r="O19" s="1">
        <f t="shared" si="3"/>
        <v>200000</v>
      </c>
      <c r="P19" s="1">
        <f t="shared" si="3"/>
        <v>200000</v>
      </c>
      <c r="Q19" s="1">
        <f t="shared" si="0"/>
        <v>2400000</v>
      </c>
      <c r="R19" s="1"/>
    </row>
    <row r="20" spans="1:18">
      <c r="A20" t="s">
        <v>117</v>
      </c>
      <c r="B20" t="s">
        <v>159</v>
      </c>
      <c r="E20" s="1">
        <f>'Unit cost and price'!D8/1000</f>
        <v>7500</v>
      </c>
      <c r="F20" s="1">
        <f t="shared" si="3"/>
        <v>7500</v>
      </c>
      <c r="G20" s="1">
        <f t="shared" si="3"/>
        <v>7500</v>
      </c>
      <c r="H20" s="1">
        <f t="shared" si="3"/>
        <v>7500</v>
      </c>
      <c r="I20" s="1">
        <f t="shared" si="3"/>
        <v>7500</v>
      </c>
      <c r="J20" s="1">
        <f t="shared" si="3"/>
        <v>7500</v>
      </c>
      <c r="K20" s="1">
        <f t="shared" si="3"/>
        <v>7500</v>
      </c>
      <c r="L20" s="1">
        <f t="shared" si="3"/>
        <v>7500</v>
      </c>
      <c r="M20" s="1">
        <f t="shared" si="3"/>
        <v>7500</v>
      </c>
      <c r="N20" s="1">
        <f t="shared" si="3"/>
        <v>7500</v>
      </c>
      <c r="O20" s="1">
        <f t="shared" si="3"/>
        <v>7500</v>
      </c>
      <c r="P20" s="1">
        <f t="shared" si="3"/>
        <v>7500</v>
      </c>
      <c r="Q20" s="1">
        <f t="shared" si="0"/>
        <v>90000</v>
      </c>
      <c r="R20" s="1"/>
    </row>
    <row r="21" spans="1:18">
      <c r="A21" t="s">
        <v>35</v>
      </c>
      <c r="B21" t="s">
        <v>36</v>
      </c>
      <c r="E21" s="26">
        <v>10000</v>
      </c>
      <c r="F21" s="1">
        <f t="shared" si="3"/>
        <v>10000</v>
      </c>
      <c r="G21" s="1">
        <f t="shared" si="3"/>
        <v>10000</v>
      </c>
      <c r="H21" s="1">
        <f t="shared" si="3"/>
        <v>10000</v>
      </c>
      <c r="I21" s="1">
        <f t="shared" si="3"/>
        <v>10000</v>
      </c>
      <c r="J21" s="1">
        <f t="shared" si="3"/>
        <v>10000</v>
      </c>
      <c r="K21" s="1">
        <f t="shared" si="3"/>
        <v>10000</v>
      </c>
      <c r="L21" s="1">
        <f t="shared" si="3"/>
        <v>10000</v>
      </c>
      <c r="M21" s="1">
        <f t="shared" si="3"/>
        <v>10000</v>
      </c>
      <c r="N21" s="1">
        <f t="shared" si="3"/>
        <v>10000</v>
      </c>
      <c r="O21" s="1">
        <f t="shared" si="3"/>
        <v>10000</v>
      </c>
      <c r="P21" s="1">
        <f t="shared" si="3"/>
        <v>10000</v>
      </c>
      <c r="Q21" s="1">
        <f t="shared" si="0"/>
        <v>120000</v>
      </c>
      <c r="R21" s="1"/>
    </row>
    <row r="22" spans="1:18">
      <c r="A22" t="s">
        <v>168</v>
      </c>
      <c r="B22" t="s">
        <v>170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 t="shared" si="0"/>
        <v>0</v>
      </c>
      <c r="R22" s="1"/>
    </row>
    <row r="23" spans="1:18">
      <c r="A23" t="s">
        <v>169</v>
      </c>
      <c r="B23" t="s">
        <v>171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 t="shared" si="0"/>
        <v>0</v>
      </c>
      <c r="R23" s="1"/>
    </row>
    <row r="24" spans="1:18">
      <c r="A24" t="s">
        <v>5</v>
      </c>
      <c r="E24" s="26">
        <f>Interest!$H$5+Interest!$D$3</f>
        <v>26900</v>
      </c>
      <c r="F24" s="26">
        <f>Interest!$H$5+Interest!$D$3</f>
        <v>26900</v>
      </c>
      <c r="G24" s="26">
        <f>Interest!$H$5+Interest!$D$3</f>
        <v>26900</v>
      </c>
      <c r="H24" s="26">
        <f>Interest!$H$5+Interest!$D$3</f>
        <v>26900</v>
      </c>
      <c r="I24" s="26">
        <f>Interest!$H$5+Interest!$D$3</f>
        <v>26900</v>
      </c>
      <c r="J24" s="26">
        <f>Interest!$H$5+Interest!$D$3</f>
        <v>26900</v>
      </c>
      <c r="K24" s="26">
        <f>Interest!$H$5+Interest!$D$3</f>
        <v>26900</v>
      </c>
      <c r="L24" s="26">
        <f>Interest!$H$5+Interest!$D$3</f>
        <v>26900</v>
      </c>
      <c r="M24" s="26">
        <f>Interest!$H$5+Interest!$D$3</f>
        <v>26900</v>
      </c>
      <c r="N24" s="26">
        <f>Interest!$H$5+Interest!$D$3</f>
        <v>26900</v>
      </c>
      <c r="O24" s="26">
        <f>Interest!$H$5+Interest!$D$3</f>
        <v>26900</v>
      </c>
      <c r="P24" s="26">
        <f>Interest!$H$5+Interest!$D$3</f>
        <v>26900</v>
      </c>
      <c r="Q24" s="1">
        <f t="shared" si="0"/>
        <v>322800</v>
      </c>
      <c r="R24" s="1"/>
    </row>
    <row r="25" spans="1:18">
      <c r="A25" s="4" t="s">
        <v>23</v>
      </c>
      <c r="B25" s="4"/>
      <c r="C25" s="4"/>
      <c r="D25" s="4"/>
      <c r="E25" s="68">
        <f>SUM(E12:E24)</f>
        <v>1101400</v>
      </c>
      <c r="F25" s="68">
        <f t="shared" ref="F25:Q25" si="4">SUM(F12:F24)</f>
        <v>841400</v>
      </c>
      <c r="G25" s="68">
        <f t="shared" si="4"/>
        <v>841400</v>
      </c>
      <c r="H25" s="68">
        <f t="shared" si="4"/>
        <v>841400</v>
      </c>
      <c r="I25" s="68">
        <f t="shared" si="4"/>
        <v>841400</v>
      </c>
      <c r="J25" s="68">
        <f t="shared" si="4"/>
        <v>841400</v>
      </c>
      <c r="K25" s="68">
        <f t="shared" si="4"/>
        <v>841400</v>
      </c>
      <c r="L25" s="68">
        <f t="shared" si="4"/>
        <v>841400</v>
      </c>
      <c r="M25" s="68">
        <f t="shared" si="4"/>
        <v>841400</v>
      </c>
      <c r="N25" s="68">
        <f t="shared" si="4"/>
        <v>841400</v>
      </c>
      <c r="O25" s="68">
        <f t="shared" si="4"/>
        <v>841400</v>
      </c>
      <c r="P25" s="68">
        <f t="shared" si="4"/>
        <v>841400</v>
      </c>
      <c r="Q25" s="68">
        <f t="shared" si="4"/>
        <v>10356800</v>
      </c>
      <c r="R25" s="1"/>
    </row>
    <row r="26" spans="1:18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4" t="s">
        <v>24</v>
      </c>
      <c r="B27" s="4"/>
      <c r="C27" s="4"/>
      <c r="D27" s="4"/>
      <c r="E27" s="2">
        <f>E10-E25</f>
        <v>-1101400</v>
      </c>
      <c r="F27" s="2">
        <f>F10-F25</f>
        <v>-841400</v>
      </c>
      <c r="G27" s="2">
        <f>G10-G25</f>
        <v>-841400</v>
      </c>
      <c r="H27" s="2">
        <f t="shared" ref="H27:Q27" si="5">H10-H25</f>
        <v>958600</v>
      </c>
      <c r="I27" s="2">
        <f t="shared" si="5"/>
        <v>-841400</v>
      </c>
      <c r="J27" s="2">
        <f t="shared" si="5"/>
        <v>958600</v>
      </c>
      <c r="K27" s="2">
        <f t="shared" si="5"/>
        <v>-841400</v>
      </c>
      <c r="L27" s="2">
        <f t="shared" si="5"/>
        <v>958600</v>
      </c>
      <c r="M27" s="2">
        <f t="shared" si="5"/>
        <v>-841400</v>
      </c>
      <c r="N27" s="2">
        <f t="shared" si="5"/>
        <v>958600</v>
      </c>
      <c r="O27" s="2">
        <f t="shared" si="5"/>
        <v>-841400</v>
      </c>
      <c r="P27" s="2">
        <f t="shared" si="5"/>
        <v>958600</v>
      </c>
      <c r="Q27" s="2">
        <f t="shared" si="5"/>
        <v>-1356800</v>
      </c>
      <c r="R27" s="1"/>
    </row>
    <row r="28" spans="1:18">
      <c r="A28" t="s">
        <v>25</v>
      </c>
      <c r="D28" s="27">
        <f>'BS 2006-07'!F13</f>
        <v>-999000</v>
      </c>
      <c r="E28" s="1">
        <f>D28</f>
        <v>-999000</v>
      </c>
      <c r="F28" s="1">
        <f t="shared" ref="F28:P28" si="6">E29</f>
        <v>-2100400</v>
      </c>
      <c r="G28" s="1">
        <f t="shared" si="6"/>
        <v>-2941800</v>
      </c>
      <c r="H28" s="1">
        <f t="shared" si="6"/>
        <v>-3783200</v>
      </c>
      <c r="I28" s="1">
        <f t="shared" si="6"/>
        <v>-2824600</v>
      </c>
      <c r="J28" s="1">
        <f t="shared" si="6"/>
        <v>-3666000</v>
      </c>
      <c r="K28" s="1">
        <f t="shared" si="6"/>
        <v>-2707400</v>
      </c>
      <c r="L28" s="1">
        <f t="shared" si="6"/>
        <v>-3548800</v>
      </c>
      <c r="M28" s="1">
        <f t="shared" si="6"/>
        <v>-2590200</v>
      </c>
      <c r="N28" s="1">
        <f t="shared" si="6"/>
        <v>-3431600</v>
      </c>
      <c r="O28" s="1">
        <f t="shared" si="6"/>
        <v>-2473000</v>
      </c>
      <c r="P28" s="1">
        <f t="shared" si="6"/>
        <v>-3314400</v>
      </c>
      <c r="Q28" s="1">
        <f>E28</f>
        <v>-999000</v>
      </c>
      <c r="R28" s="1"/>
    </row>
    <row r="29" spans="1:18" ht="15" thickBot="1">
      <c r="A29" s="4" t="s">
        <v>26</v>
      </c>
      <c r="E29" s="109">
        <f>E27+E28</f>
        <v>-2100400</v>
      </c>
      <c r="F29" s="109">
        <f t="shared" ref="F29:P29" si="7">F27+F28</f>
        <v>-2941800</v>
      </c>
      <c r="G29" s="109">
        <f t="shared" si="7"/>
        <v>-3783200</v>
      </c>
      <c r="H29" s="109">
        <f t="shared" si="7"/>
        <v>-2824600</v>
      </c>
      <c r="I29" s="109">
        <f t="shared" si="7"/>
        <v>-3666000</v>
      </c>
      <c r="J29" s="109">
        <f t="shared" si="7"/>
        <v>-2707400</v>
      </c>
      <c r="K29" s="109">
        <f t="shared" si="7"/>
        <v>-3548800</v>
      </c>
      <c r="L29" s="109">
        <f t="shared" si="7"/>
        <v>-2590200</v>
      </c>
      <c r="M29" s="109">
        <f t="shared" si="7"/>
        <v>-3431600</v>
      </c>
      <c r="N29" s="109">
        <f t="shared" si="7"/>
        <v>-2473000</v>
      </c>
      <c r="O29" s="109">
        <f t="shared" si="7"/>
        <v>-3314400</v>
      </c>
      <c r="P29" s="109">
        <f t="shared" si="7"/>
        <v>-2355800</v>
      </c>
      <c r="Q29" s="109">
        <f>SUM(Q27:Q28)</f>
        <v>-2355800</v>
      </c>
      <c r="R29" s="1"/>
    </row>
    <row r="30" spans="1:18" ht="15" thickTop="1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6"/>
      <c r="B31" s="1" t="s">
        <v>215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</sheetData>
  <mergeCells count="1">
    <mergeCell ref="E1:Q1"/>
  </mergeCells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R31"/>
  <sheetViews>
    <sheetView topLeftCell="C8" workbookViewId="0">
      <selection activeCell="E29" sqref="E29:Q29"/>
    </sheetView>
  </sheetViews>
  <sheetFormatPr baseColWidth="10" defaultColWidth="8.83203125" defaultRowHeight="14"/>
  <cols>
    <col min="1" max="1" width="27.5" customWidth="1"/>
    <col min="2" max="2" width="27.6640625" customWidth="1"/>
    <col min="3" max="3" width="1" customWidth="1"/>
    <col min="4" max="4" width="10.1640625" customWidth="1"/>
    <col min="5" max="5" width="11.5" customWidth="1"/>
    <col min="6" max="6" width="12.1640625" customWidth="1"/>
    <col min="7" max="7" width="12" customWidth="1"/>
    <col min="8" max="8" width="11.5" customWidth="1"/>
    <col min="9" max="9" width="11.6640625" customWidth="1"/>
    <col min="10" max="10" width="11.83203125" customWidth="1"/>
    <col min="11" max="11" width="12.1640625" customWidth="1"/>
    <col min="12" max="12" width="11.6640625" customWidth="1"/>
    <col min="13" max="13" width="12" customWidth="1"/>
    <col min="14" max="14" width="12.6640625" customWidth="1"/>
    <col min="15" max="15" width="12.83203125" customWidth="1"/>
    <col min="16" max="16" width="12.33203125" customWidth="1"/>
    <col min="17" max="17" width="12.5" customWidth="1"/>
  </cols>
  <sheetData>
    <row r="1" spans="1:18">
      <c r="A1" t="s">
        <v>304</v>
      </c>
      <c r="E1" s="123" t="s">
        <v>77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3" spans="1:18" s="103" customFormat="1">
      <c r="A3" s="103" t="s">
        <v>173</v>
      </c>
      <c r="B3" s="103" t="s">
        <v>174</v>
      </c>
      <c r="E3" s="103" t="s">
        <v>305</v>
      </c>
      <c r="F3" s="103" t="s">
        <v>306</v>
      </c>
      <c r="G3" s="103" t="s">
        <v>307</v>
      </c>
      <c r="H3" s="103" t="s">
        <v>308</v>
      </c>
      <c r="I3" s="103" t="s">
        <v>309</v>
      </c>
      <c r="J3" s="103" t="s">
        <v>310</v>
      </c>
      <c r="K3" s="103" t="s">
        <v>311</v>
      </c>
      <c r="L3" s="103" t="s">
        <v>312</v>
      </c>
      <c r="M3" s="103" t="s">
        <v>313</v>
      </c>
      <c r="N3" s="103" t="s">
        <v>43</v>
      </c>
      <c r="O3" s="103" t="s">
        <v>315</v>
      </c>
      <c r="P3" s="103" t="s">
        <v>316</v>
      </c>
      <c r="Q3" s="103" t="s">
        <v>196</v>
      </c>
    </row>
    <row r="4" spans="1:18" hidden="1">
      <c r="A4" t="s">
        <v>317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f>SUM(E4:P4)</f>
        <v>24</v>
      </c>
      <c r="R4" s="1"/>
    </row>
    <row r="5" spans="1:18" hidden="1">
      <c r="A5" t="s">
        <v>318</v>
      </c>
      <c r="E5" s="1"/>
      <c r="F5" s="1">
        <v>4</v>
      </c>
      <c r="G5" s="1"/>
      <c r="H5" s="1">
        <v>4</v>
      </c>
      <c r="I5" s="1"/>
      <c r="J5" s="1">
        <v>4</v>
      </c>
      <c r="K5" s="1"/>
      <c r="L5" s="1">
        <v>4</v>
      </c>
      <c r="M5" s="1"/>
      <c r="N5" s="1">
        <v>4</v>
      </c>
      <c r="O5" s="1"/>
      <c r="P5" s="1">
        <v>4</v>
      </c>
      <c r="Q5" s="1">
        <f>SUM(E5:P5)</f>
        <v>24</v>
      </c>
      <c r="R5" s="1"/>
    </row>
    <row r="6" spans="1:18" hidden="1">
      <c r="A6" t="s">
        <v>165</v>
      </c>
      <c r="E6" s="46"/>
      <c r="F6" s="46">
        <v>450000</v>
      </c>
      <c r="G6" s="46"/>
      <c r="H6" s="46">
        <f>F6</f>
        <v>450000</v>
      </c>
      <c r="I6" s="46"/>
      <c r="J6" s="46">
        <f>H6</f>
        <v>450000</v>
      </c>
      <c r="K6" s="46"/>
      <c r="L6" s="46">
        <f>J6</f>
        <v>450000</v>
      </c>
      <c r="M6" s="46"/>
      <c r="N6" s="46">
        <f>L6</f>
        <v>450000</v>
      </c>
      <c r="O6" s="46"/>
      <c r="P6" s="46">
        <f>N6</f>
        <v>450000</v>
      </c>
      <c r="Q6" s="46"/>
      <c r="R6" s="1"/>
    </row>
    <row r="7" spans="1:18">
      <c r="A7" t="s">
        <v>179</v>
      </c>
      <c r="B7" s="19"/>
      <c r="C7" s="19"/>
      <c r="D7" s="19"/>
      <c r="E7" s="8">
        <f>E4*E6</f>
        <v>0</v>
      </c>
      <c r="H7" s="8">
        <f>'Year 1 IS Projection'!E7+'Year 1 IS Projection'!F7</f>
        <v>1800000</v>
      </c>
      <c r="J7" s="8">
        <f>'Year 1 IS Projection'!G7+'Year 1 IS Projection'!H7</f>
        <v>1800000</v>
      </c>
      <c r="L7" s="8">
        <f>'Year 1 IS Projection'!I7+'Year 1 IS Projection'!J7</f>
        <v>1800000</v>
      </c>
      <c r="N7" s="8">
        <f>'Year 1 IS Projection'!K7+'Year 1 IS Projection'!L7</f>
        <v>1800000</v>
      </c>
      <c r="P7" s="8">
        <f>'Year 1 IS Projection'!M7+'Year 1 IS Projection'!N7</f>
        <v>1800000</v>
      </c>
      <c r="Q7" s="8">
        <f>SUM(E7:P7)</f>
        <v>9000000</v>
      </c>
      <c r="R7" s="1"/>
    </row>
    <row r="8" spans="1:18">
      <c r="A8" t="s">
        <v>282</v>
      </c>
      <c r="E8" s="2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ref="Q8:Q24" si="0">SUM(E8:P8)</f>
        <v>0</v>
      </c>
      <c r="R8" s="1"/>
    </row>
    <row r="9" spans="1:18">
      <c r="A9" t="s">
        <v>180</v>
      </c>
      <c r="E9" s="2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0</v>
      </c>
      <c r="R9" s="1"/>
    </row>
    <row r="10" spans="1:18">
      <c r="A10" s="18" t="s">
        <v>21</v>
      </c>
      <c r="B10" s="18"/>
      <c r="C10" s="18"/>
      <c r="D10" s="18"/>
      <c r="E10" s="74">
        <f>SUM(E7:E9)</f>
        <v>0</v>
      </c>
      <c r="F10" s="74">
        <f>SUM(F7:F9)</f>
        <v>0</v>
      </c>
      <c r="G10" s="74">
        <f>SUM(G7:G9)</f>
        <v>0</v>
      </c>
      <c r="H10" s="74">
        <f>SUM(H7:H9)</f>
        <v>1800000</v>
      </c>
      <c r="I10" s="74">
        <f t="shared" ref="I10:P10" si="1">SUM(I7:I9)</f>
        <v>0</v>
      </c>
      <c r="J10" s="74">
        <f t="shared" si="1"/>
        <v>1800000</v>
      </c>
      <c r="K10" s="74">
        <f t="shared" si="1"/>
        <v>0</v>
      </c>
      <c r="L10" s="74">
        <f t="shared" si="1"/>
        <v>1800000</v>
      </c>
      <c r="M10" s="74">
        <f t="shared" si="1"/>
        <v>0</v>
      </c>
      <c r="N10" s="74">
        <f t="shared" si="1"/>
        <v>1800000</v>
      </c>
      <c r="O10" s="74">
        <f t="shared" si="1"/>
        <v>0</v>
      </c>
      <c r="P10" s="74">
        <f t="shared" si="1"/>
        <v>1800000</v>
      </c>
      <c r="Q10" s="74">
        <f>SUM(E10:P10)</f>
        <v>9000000</v>
      </c>
      <c r="R10" s="1"/>
    </row>
    <row r="11" spans="1:18">
      <c r="A11" t="s">
        <v>22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t="s">
        <v>33</v>
      </c>
      <c r="E12" s="26">
        <f>'Capital forecast'!E6</f>
        <v>500000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f t="shared" si="0"/>
        <v>500000</v>
      </c>
      <c r="R12" s="1"/>
    </row>
    <row r="13" spans="1:18">
      <c r="A13" t="s">
        <v>34</v>
      </c>
      <c r="E13" s="26">
        <f>'Capital forecast'!E7+'Capital forecast'!E8</f>
        <v>520000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 t="shared" si="0"/>
        <v>520000</v>
      </c>
      <c r="R13" s="1"/>
    </row>
    <row r="14" spans="1:18">
      <c r="A14" t="s">
        <v>100</v>
      </c>
      <c r="D14" s="92"/>
      <c r="E14" s="1">
        <f>'Capital forecast'!E12</f>
        <v>90000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 t="shared" si="0"/>
        <v>90000</v>
      </c>
      <c r="R14" s="1"/>
    </row>
    <row r="15" spans="1:18">
      <c r="A15" t="s">
        <v>99</v>
      </c>
      <c r="B15" t="s">
        <v>172</v>
      </c>
      <c r="F15" s="1">
        <f>'Unit cost and price'!D3*2/1000</f>
        <v>384000</v>
      </c>
      <c r="G15" s="1">
        <f>F15</f>
        <v>384000</v>
      </c>
      <c r="H15" s="1">
        <f t="shared" ref="H15:P15" si="2">G15</f>
        <v>384000</v>
      </c>
      <c r="I15" s="1">
        <f>H15</f>
        <v>384000</v>
      </c>
      <c r="J15" s="1">
        <f t="shared" si="2"/>
        <v>384000</v>
      </c>
      <c r="K15" s="1">
        <f t="shared" si="2"/>
        <v>384000</v>
      </c>
      <c r="L15" s="1">
        <f t="shared" si="2"/>
        <v>384000</v>
      </c>
      <c r="M15" s="1">
        <f t="shared" si="2"/>
        <v>384000</v>
      </c>
      <c r="N15" s="1">
        <f t="shared" si="2"/>
        <v>384000</v>
      </c>
      <c r="O15" s="1">
        <f t="shared" si="2"/>
        <v>384000</v>
      </c>
      <c r="P15" s="1">
        <f t="shared" si="2"/>
        <v>384000</v>
      </c>
      <c r="Q15" s="1">
        <f>SUM(F15:P15)</f>
        <v>4224000</v>
      </c>
      <c r="R15" s="1"/>
    </row>
    <row r="16" spans="1:18">
      <c r="A16" t="s">
        <v>292</v>
      </c>
      <c r="B16" t="s">
        <v>157</v>
      </c>
      <c r="E16" s="1">
        <f>'Unit cost and price'!D4*2/1000</f>
        <v>120000</v>
      </c>
      <c r="F16" s="1">
        <f t="shared" ref="F16:P21" si="3">E16</f>
        <v>120000</v>
      </c>
      <c r="G16" s="1">
        <f t="shared" si="3"/>
        <v>120000</v>
      </c>
      <c r="H16" s="1">
        <f t="shared" si="3"/>
        <v>120000</v>
      </c>
      <c r="I16" s="1">
        <f t="shared" si="3"/>
        <v>120000</v>
      </c>
      <c r="J16" s="1">
        <f t="shared" si="3"/>
        <v>120000</v>
      </c>
      <c r="K16" s="1">
        <f t="shared" si="3"/>
        <v>120000</v>
      </c>
      <c r="L16" s="1">
        <f t="shared" si="3"/>
        <v>120000</v>
      </c>
      <c r="M16" s="1">
        <f t="shared" si="3"/>
        <v>120000</v>
      </c>
      <c r="N16" s="1">
        <f t="shared" si="3"/>
        <v>120000</v>
      </c>
      <c r="O16" s="1">
        <f t="shared" si="3"/>
        <v>120000</v>
      </c>
      <c r="P16" s="1">
        <f t="shared" si="3"/>
        <v>120000</v>
      </c>
      <c r="Q16" s="1">
        <f t="shared" si="0"/>
        <v>1440000</v>
      </c>
      <c r="R16" s="1"/>
    </row>
    <row r="17" spans="1:18">
      <c r="A17" t="s">
        <v>102</v>
      </c>
      <c r="B17" t="s">
        <v>158</v>
      </c>
      <c r="E17" s="26">
        <f>'Unit cost and price'!D5*2/1000</f>
        <v>24000</v>
      </c>
      <c r="F17" s="1">
        <f t="shared" si="3"/>
        <v>24000</v>
      </c>
      <c r="G17" s="1">
        <f t="shared" si="3"/>
        <v>24000</v>
      </c>
      <c r="H17" s="1">
        <f t="shared" si="3"/>
        <v>24000</v>
      </c>
      <c r="I17" s="1">
        <f t="shared" si="3"/>
        <v>24000</v>
      </c>
      <c r="J17" s="1">
        <f t="shared" si="3"/>
        <v>24000</v>
      </c>
      <c r="K17" s="1">
        <f t="shared" si="3"/>
        <v>24000</v>
      </c>
      <c r="L17" s="1">
        <f t="shared" si="3"/>
        <v>24000</v>
      </c>
      <c r="M17" s="1">
        <f t="shared" si="3"/>
        <v>24000</v>
      </c>
      <c r="N17" s="1">
        <f t="shared" si="3"/>
        <v>24000</v>
      </c>
      <c r="O17" s="1">
        <f t="shared" si="3"/>
        <v>24000</v>
      </c>
      <c r="P17" s="1">
        <f t="shared" si="3"/>
        <v>24000</v>
      </c>
      <c r="Q17" s="1">
        <f t="shared" si="0"/>
        <v>288000</v>
      </c>
      <c r="R17" s="1"/>
    </row>
    <row r="18" spans="1:18">
      <c r="A18" t="s">
        <v>192</v>
      </c>
      <c r="B18" t="s">
        <v>156</v>
      </c>
      <c r="F18" s="1">
        <f>'Unit cost and price'!D6*2/1000</f>
        <v>63000</v>
      </c>
      <c r="G18" s="1">
        <f>F18</f>
        <v>63000</v>
      </c>
      <c r="H18" s="1">
        <f t="shared" si="3"/>
        <v>63000</v>
      </c>
      <c r="I18" s="1">
        <f t="shared" si="3"/>
        <v>63000</v>
      </c>
      <c r="J18" s="1">
        <f t="shared" si="3"/>
        <v>63000</v>
      </c>
      <c r="K18" s="1">
        <f t="shared" si="3"/>
        <v>63000</v>
      </c>
      <c r="L18" s="1">
        <f t="shared" si="3"/>
        <v>63000</v>
      </c>
      <c r="M18" s="1">
        <f t="shared" si="3"/>
        <v>63000</v>
      </c>
      <c r="N18" s="1">
        <f t="shared" si="3"/>
        <v>63000</v>
      </c>
      <c r="O18" s="1">
        <f t="shared" si="3"/>
        <v>63000</v>
      </c>
      <c r="P18" s="1">
        <f t="shared" si="3"/>
        <v>63000</v>
      </c>
      <c r="Q18" s="1">
        <f>SUM(F18:P18)</f>
        <v>693000</v>
      </c>
      <c r="R18" s="1"/>
    </row>
    <row r="19" spans="1:18">
      <c r="A19" t="s">
        <v>200</v>
      </c>
      <c r="B19" t="s">
        <v>164</v>
      </c>
      <c r="E19" s="1">
        <f>'Unit cost and price'!D7*2/1000</f>
        <v>200000</v>
      </c>
      <c r="F19" s="1">
        <f t="shared" si="3"/>
        <v>200000</v>
      </c>
      <c r="G19" s="1">
        <f t="shared" si="3"/>
        <v>200000</v>
      </c>
      <c r="H19" s="1">
        <f t="shared" si="3"/>
        <v>200000</v>
      </c>
      <c r="I19" s="1">
        <f t="shared" si="3"/>
        <v>200000</v>
      </c>
      <c r="J19" s="1">
        <f t="shared" si="3"/>
        <v>200000</v>
      </c>
      <c r="K19" s="1">
        <f t="shared" si="3"/>
        <v>200000</v>
      </c>
      <c r="L19" s="1">
        <f t="shared" si="3"/>
        <v>200000</v>
      </c>
      <c r="M19" s="1">
        <f t="shared" si="3"/>
        <v>200000</v>
      </c>
      <c r="N19" s="1">
        <f t="shared" si="3"/>
        <v>200000</v>
      </c>
      <c r="O19" s="1">
        <f t="shared" si="3"/>
        <v>200000</v>
      </c>
      <c r="P19" s="1">
        <f t="shared" si="3"/>
        <v>200000</v>
      </c>
      <c r="Q19" s="1">
        <f t="shared" si="0"/>
        <v>2400000</v>
      </c>
      <c r="R19" s="1"/>
    </row>
    <row r="20" spans="1:18">
      <c r="A20" t="s">
        <v>117</v>
      </c>
      <c r="B20" t="s">
        <v>159</v>
      </c>
      <c r="E20" s="1">
        <f>'Unit cost and price'!D8/1000</f>
        <v>7500</v>
      </c>
      <c r="F20" s="1">
        <f t="shared" si="3"/>
        <v>7500</v>
      </c>
      <c r="G20" s="1">
        <f t="shared" si="3"/>
        <v>7500</v>
      </c>
      <c r="H20" s="1">
        <f t="shared" si="3"/>
        <v>7500</v>
      </c>
      <c r="I20" s="1">
        <f t="shared" si="3"/>
        <v>7500</v>
      </c>
      <c r="J20" s="1">
        <f t="shared" si="3"/>
        <v>7500</v>
      </c>
      <c r="K20" s="1">
        <f t="shared" si="3"/>
        <v>7500</v>
      </c>
      <c r="L20" s="1">
        <f t="shared" si="3"/>
        <v>7500</v>
      </c>
      <c r="M20" s="1">
        <f t="shared" si="3"/>
        <v>7500</v>
      </c>
      <c r="N20" s="1">
        <f t="shared" si="3"/>
        <v>7500</v>
      </c>
      <c r="O20" s="1">
        <f t="shared" si="3"/>
        <v>7500</v>
      </c>
      <c r="P20" s="1">
        <f t="shared" si="3"/>
        <v>7500</v>
      </c>
      <c r="Q20" s="1">
        <f t="shared" si="0"/>
        <v>90000</v>
      </c>
      <c r="R20" s="1"/>
    </row>
    <row r="21" spans="1:18">
      <c r="A21" t="s">
        <v>35</v>
      </c>
      <c r="B21" t="s">
        <v>36</v>
      </c>
      <c r="E21" s="26">
        <v>10000</v>
      </c>
      <c r="F21" s="1">
        <f t="shared" si="3"/>
        <v>10000</v>
      </c>
      <c r="G21" s="1">
        <f t="shared" si="3"/>
        <v>10000</v>
      </c>
      <c r="H21" s="1">
        <f t="shared" si="3"/>
        <v>10000</v>
      </c>
      <c r="I21" s="1">
        <f t="shared" si="3"/>
        <v>10000</v>
      </c>
      <c r="J21" s="1">
        <f t="shared" si="3"/>
        <v>10000</v>
      </c>
      <c r="K21" s="1">
        <f t="shared" si="3"/>
        <v>10000</v>
      </c>
      <c r="L21" s="1">
        <f t="shared" si="3"/>
        <v>10000</v>
      </c>
      <c r="M21" s="1">
        <f t="shared" si="3"/>
        <v>10000</v>
      </c>
      <c r="N21" s="1">
        <f t="shared" si="3"/>
        <v>10000</v>
      </c>
      <c r="O21" s="1">
        <f t="shared" si="3"/>
        <v>10000</v>
      </c>
      <c r="P21" s="1">
        <f t="shared" si="3"/>
        <v>10000</v>
      </c>
      <c r="Q21" s="1">
        <f t="shared" si="0"/>
        <v>120000</v>
      </c>
      <c r="R21" s="1"/>
    </row>
    <row r="22" spans="1:18">
      <c r="A22" t="s">
        <v>168</v>
      </c>
      <c r="B22" t="s">
        <v>170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 t="shared" si="0"/>
        <v>0</v>
      </c>
      <c r="R22" s="1"/>
    </row>
    <row r="23" spans="1:18">
      <c r="A23" t="s">
        <v>169</v>
      </c>
      <c r="B23" t="s">
        <v>171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 t="shared" si="0"/>
        <v>0</v>
      </c>
      <c r="R23" s="1"/>
    </row>
    <row r="24" spans="1:18">
      <c r="A24" t="s">
        <v>5</v>
      </c>
      <c r="E24" s="26">
        <f>Interest!$H$5+Interest!$D$3</f>
        <v>26900</v>
      </c>
      <c r="F24" s="26">
        <f>Interest!$H$5+Interest!$D$3</f>
        <v>26900</v>
      </c>
      <c r="G24" s="26">
        <f>Interest!$H$5+Interest!$D$3</f>
        <v>26900</v>
      </c>
      <c r="H24" s="26">
        <f>Interest!$H$5+Interest!$D$3</f>
        <v>26900</v>
      </c>
      <c r="I24" s="26">
        <f>Interest!$H$5+Interest!$D$3</f>
        <v>26900</v>
      </c>
      <c r="J24" s="26">
        <f>Interest!$H$5+Interest!$D$3</f>
        <v>26900</v>
      </c>
      <c r="K24" s="26">
        <f>Interest!$H$5+Interest!$D$3</f>
        <v>26900</v>
      </c>
      <c r="L24" s="26">
        <f>Interest!$H$5+Interest!$D$3</f>
        <v>26900</v>
      </c>
      <c r="M24" s="26">
        <f>Interest!$H$5+Interest!$D$3</f>
        <v>26900</v>
      </c>
      <c r="N24" s="26">
        <f>Interest!$H$5+Interest!$D$3</f>
        <v>26900</v>
      </c>
      <c r="O24" s="26">
        <f>Interest!$H$5+Interest!$D$3</f>
        <v>26900</v>
      </c>
      <c r="P24" s="26">
        <f>Interest!$H$5+Interest!$D$3</f>
        <v>26900</v>
      </c>
      <c r="Q24" s="1">
        <f t="shared" si="0"/>
        <v>322800</v>
      </c>
      <c r="R24" s="1"/>
    </row>
    <row r="25" spans="1:18">
      <c r="A25" s="4" t="s">
        <v>23</v>
      </c>
      <c r="B25" s="4"/>
      <c r="C25" s="4"/>
      <c r="D25" s="4"/>
      <c r="E25" s="68">
        <f>SUM(E12:E24)</f>
        <v>1498400</v>
      </c>
      <c r="F25" s="68">
        <f t="shared" ref="F25:Q25" si="4">SUM(F12:F24)</f>
        <v>835400</v>
      </c>
      <c r="G25" s="68">
        <f t="shared" si="4"/>
        <v>835400</v>
      </c>
      <c r="H25" s="68">
        <f t="shared" si="4"/>
        <v>835400</v>
      </c>
      <c r="I25" s="68">
        <f t="shared" si="4"/>
        <v>835400</v>
      </c>
      <c r="J25" s="68">
        <f t="shared" si="4"/>
        <v>835400</v>
      </c>
      <c r="K25" s="68">
        <f t="shared" si="4"/>
        <v>835400</v>
      </c>
      <c r="L25" s="68">
        <f t="shared" si="4"/>
        <v>835400</v>
      </c>
      <c r="M25" s="68">
        <f t="shared" si="4"/>
        <v>835400</v>
      </c>
      <c r="N25" s="68">
        <f t="shared" si="4"/>
        <v>835400</v>
      </c>
      <c r="O25" s="68">
        <f t="shared" si="4"/>
        <v>835400</v>
      </c>
      <c r="P25" s="68">
        <f t="shared" si="4"/>
        <v>835400</v>
      </c>
      <c r="Q25" s="68">
        <f t="shared" si="4"/>
        <v>10687800</v>
      </c>
      <c r="R25" s="1"/>
    </row>
    <row r="26" spans="1:18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4" t="s">
        <v>24</v>
      </c>
      <c r="B27" s="4"/>
      <c r="C27" s="4"/>
      <c r="D27" s="4"/>
      <c r="E27" s="2">
        <f>E10-E25</f>
        <v>-1498400</v>
      </c>
      <c r="F27" s="2">
        <f>F10-F25</f>
        <v>-835400</v>
      </c>
      <c r="G27" s="2">
        <f>G10-G25</f>
        <v>-835400</v>
      </c>
      <c r="H27" s="2">
        <f t="shared" ref="H27:Q27" si="5">H10-H25</f>
        <v>964600</v>
      </c>
      <c r="I27" s="2">
        <f t="shared" si="5"/>
        <v>-835400</v>
      </c>
      <c r="J27" s="2">
        <f t="shared" si="5"/>
        <v>964600</v>
      </c>
      <c r="K27" s="2">
        <f t="shared" si="5"/>
        <v>-835400</v>
      </c>
      <c r="L27" s="2">
        <f t="shared" si="5"/>
        <v>964600</v>
      </c>
      <c r="M27" s="2">
        <f t="shared" si="5"/>
        <v>-835400</v>
      </c>
      <c r="N27" s="2">
        <f t="shared" si="5"/>
        <v>964600</v>
      </c>
      <c r="O27" s="2">
        <f t="shared" si="5"/>
        <v>-835400</v>
      </c>
      <c r="P27" s="2">
        <f t="shared" si="5"/>
        <v>964600</v>
      </c>
      <c r="Q27" s="2">
        <f t="shared" si="5"/>
        <v>-1687800</v>
      </c>
      <c r="R27" s="1"/>
    </row>
    <row r="28" spans="1:18">
      <c r="A28" t="s">
        <v>25</v>
      </c>
      <c r="D28" s="27">
        <f>'BS 2006-07'!F13</f>
        <v>-999000</v>
      </c>
      <c r="E28" s="1">
        <f>D28</f>
        <v>-999000</v>
      </c>
      <c r="F28" s="1">
        <f t="shared" ref="F28:P28" si="6">E29</f>
        <v>-2497400</v>
      </c>
      <c r="G28" s="1">
        <f t="shared" si="6"/>
        <v>-3332800</v>
      </c>
      <c r="H28" s="1">
        <f t="shared" si="6"/>
        <v>-4168200</v>
      </c>
      <c r="I28" s="1">
        <f t="shared" si="6"/>
        <v>-3203600</v>
      </c>
      <c r="J28" s="1">
        <f t="shared" si="6"/>
        <v>-4039000</v>
      </c>
      <c r="K28" s="1">
        <f t="shared" si="6"/>
        <v>-3074400</v>
      </c>
      <c r="L28" s="1">
        <f t="shared" si="6"/>
        <v>-3909800</v>
      </c>
      <c r="M28" s="1">
        <f t="shared" si="6"/>
        <v>-2945200</v>
      </c>
      <c r="N28" s="1">
        <f t="shared" si="6"/>
        <v>-3780600</v>
      </c>
      <c r="O28" s="1">
        <f t="shared" si="6"/>
        <v>-2816000</v>
      </c>
      <c r="P28" s="1">
        <f t="shared" si="6"/>
        <v>-3651400</v>
      </c>
      <c r="Q28" s="1">
        <f>E28</f>
        <v>-999000</v>
      </c>
      <c r="R28" s="1"/>
    </row>
    <row r="29" spans="1:18" ht="15" thickBot="1">
      <c r="A29" s="4" t="s">
        <v>26</v>
      </c>
      <c r="E29" s="109">
        <f>E27+E28</f>
        <v>-2497400</v>
      </c>
      <c r="F29" s="109">
        <f t="shared" ref="F29:P29" si="7">F27+F28</f>
        <v>-3332800</v>
      </c>
      <c r="G29" s="109">
        <f t="shared" si="7"/>
        <v>-4168200</v>
      </c>
      <c r="H29" s="109">
        <f t="shared" si="7"/>
        <v>-3203600</v>
      </c>
      <c r="I29" s="109">
        <f t="shared" si="7"/>
        <v>-4039000</v>
      </c>
      <c r="J29" s="109">
        <f t="shared" si="7"/>
        <v>-3074400</v>
      </c>
      <c r="K29" s="109">
        <f t="shared" si="7"/>
        <v>-3909800</v>
      </c>
      <c r="L29" s="109">
        <f t="shared" si="7"/>
        <v>-2945200</v>
      </c>
      <c r="M29" s="109">
        <f t="shared" si="7"/>
        <v>-3780600</v>
      </c>
      <c r="N29" s="109">
        <f t="shared" si="7"/>
        <v>-2816000</v>
      </c>
      <c r="O29" s="109">
        <f t="shared" si="7"/>
        <v>-3651400</v>
      </c>
      <c r="P29" s="109">
        <f t="shared" si="7"/>
        <v>-2686800</v>
      </c>
      <c r="Q29" s="109">
        <f>SUM(Q27:Q28)</f>
        <v>-2686800</v>
      </c>
      <c r="R29" s="1"/>
    </row>
    <row r="30" spans="1:18" ht="15" thickTop="1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6"/>
      <c r="B31" s="1" t="s">
        <v>215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</sheetData>
  <mergeCells count="1">
    <mergeCell ref="E1:Q1"/>
  </mergeCells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R31"/>
  <sheetViews>
    <sheetView topLeftCell="C9" workbookViewId="0">
      <selection activeCell="E29" sqref="E29:Q29"/>
    </sheetView>
  </sheetViews>
  <sheetFormatPr baseColWidth="10" defaultColWidth="8.83203125" defaultRowHeight="14"/>
  <cols>
    <col min="1" max="1" width="27.5" customWidth="1"/>
    <col min="2" max="2" width="27.6640625" customWidth="1"/>
    <col min="3" max="3" width="1" customWidth="1"/>
    <col min="4" max="4" width="10.1640625" customWidth="1"/>
    <col min="5" max="5" width="11.5" customWidth="1"/>
    <col min="6" max="6" width="12.1640625" customWidth="1"/>
    <col min="7" max="7" width="12" customWidth="1"/>
    <col min="8" max="8" width="11.5" customWidth="1"/>
    <col min="9" max="9" width="11.6640625" customWidth="1"/>
    <col min="10" max="10" width="11.83203125" customWidth="1"/>
    <col min="11" max="11" width="12.1640625" customWidth="1"/>
    <col min="12" max="12" width="11.6640625" customWidth="1"/>
    <col min="13" max="13" width="12" customWidth="1"/>
    <col min="14" max="14" width="12.6640625" customWidth="1"/>
    <col min="15" max="15" width="12.83203125" customWidth="1"/>
    <col min="16" max="16" width="12.33203125" customWidth="1"/>
    <col min="17" max="17" width="12.5" customWidth="1"/>
  </cols>
  <sheetData>
    <row r="1" spans="1:18">
      <c r="A1" t="s">
        <v>304</v>
      </c>
      <c r="E1" s="123" t="s">
        <v>77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3" spans="1:18" s="103" customFormat="1">
      <c r="A3" s="103" t="s">
        <v>173</v>
      </c>
      <c r="B3" s="103" t="s">
        <v>174</v>
      </c>
      <c r="E3" s="103" t="s">
        <v>305</v>
      </c>
      <c r="F3" s="103" t="s">
        <v>306</v>
      </c>
      <c r="G3" s="103" t="s">
        <v>307</v>
      </c>
      <c r="H3" s="103" t="s">
        <v>308</v>
      </c>
      <c r="I3" s="103" t="s">
        <v>309</v>
      </c>
      <c r="J3" s="103" t="s">
        <v>310</v>
      </c>
      <c r="K3" s="103" t="s">
        <v>311</v>
      </c>
      <c r="L3" s="103" t="s">
        <v>312</v>
      </c>
      <c r="M3" s="103" t="s">
        <v>313</v>
      </c>
      <c r="N3" s="103" t="s">
        <v>43</v>
      </c>
      <c r="O3" s="103" t="s">
        <v>315</v>
      </c>
      <c r="P3" s="103" t="s">
        <v>316</v>
      </c>
      <c r="Q3" s="103" t="s">
        <v>196</v>
      </c>
    </row>
    <row r="4" spans="1:18" hidden="1">
      <c r="A4" t="s">
        <v>317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f>SUM(E4:P4)</f>
        <v>24</v>
      </c>
      <c r="R4" s="1"/>
    </row>
    <row r="5" spans="1:18" hidden="1">
      <c r="A5" t="s">
        <v>318</v>
      </c>
      <c r="E5" s="1"/>
      <c r="F5" s="1">
        <v>4</v>
      </c>
      <c r="G5" s="1"/>
      <c r="H5" s="1">
        <v>4</v>
      </c>
      <c r="I5" s="1"/>
      <c r="J5" s="1">
        <v>4</v>
      </c>
      <c r="K5" s="1"/>
      <c r="L5" s="1">
        <v>4</v>
      </c>
      <c r="M5" s="1"/>
      <c r="N5" s="1">
        <v>4</v>
      </c>
      <c r="O5" s="1"/>
      <c r="P5" s="1">
        <v>4</v>
      </c>
      <c r="Q5" s="1">
        <f>SUM(E5:P5)</f>
        <v>24</v>
      </c>
      <c r="R5" s="1"/>
    </row>
    <row r="6" spans="1:18" hidden="1">
      <c r="A6" t="s">
        <v>165</v>
      </c>
      <c r="E6" s="46"/>
      <c r="F6" s="46">
        <v>450000</v>
      </c>
      <c r="G6" s="46"/>
      <c r="H6" s="46">
        <f>F6</f>
        <v>450000</v>
      </c>
      <c r="I6" s="46"/>
      <c r="J6" s="46">
        <f>H6</f>
        <v>450000</v>
      </c>
      <c r="K6" s="46"/>
      <c r="L6" s="46">
        <f>J6</f>
        <v>450000</v>
      </c>
      <c r="M6" s="46"/>
      <c r="N6" s="46">
        <f>L6</f>
        <v>450000</v>
      </c>
      <c r="O6" s="46"/>
      <c r="P6" s="46">
        <f>N6</f>
        <v>450000</v>
      </c>
      <c r="Q6" s="46"/>
      <c r="R6" s="1"/>
    </row>
    <row r="7" spans="1:18">
      <c r="A7" t="s">
        <v>179</v>
      </c>
      <c r="B7" s="19"/>
      <c r="C7" s="19"/>
      <c r="D7" s="19"/>
      <c r="E7" s="8">
        <f>E4*E6</f>
        <v>0</v>
      </c>
      <c r="H7" s="8">
        <f>'Year 1 IS Projection'!E7+'Year 1 IS Projection'!F7</f>
        <v>1800000</v>
      </c>
      <c r="J7" s="8">
        <f>'Year 1 IS Projection'!G7+'Year 1 IS Projection'!H7</f>
        <v>1800000</v>
      </c>
      <c r="L7" s="8">
        <f>'Year 1 IS Projection'!I7+'Year 1 IS Projection'!J7</f>
        <v>1800000</v>
      </c>
      <c r="N7" s="8">
        <f>'Year 1 IS Projection'!K7+'Year 1 IS Projection'!L7</f>
        <v>1800000</v>
      </c>
      <c r="P7" s="8">
        <f>'Year 1 IS Projection'!M7+'Year 1 IS Projection'!N7</f>
        <v>1800000</v>
      </c>
      <c r="Q7" s="8">
        <f>SUM(E7:P7)</f>
        <v>9000000</v>
      </c>
      <c r="R7" s="1"/>
    </row>
    <row r="8" spans="1:18">
      <c r="A8" t="s">
        <v>282</v>
      </c>
      <c r="E8" s="2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ref="Q8:Q24" si="0">SUM(E8:P8)</f>
        <v>0</v>
      </c>
      <c r="R8" s="1"/>
    </row>
    <row r="9" spans="1:18">
      <c r="A9" t="s">
        <v>180</v>
      </c>
      <c r="E9" s="2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0</v>
      </c>
      <c r="R9" s="1"/>
    </row>
    <row r="10" spans="1:18">
      <c r="A10" s="18" t="s">
        <v>21</v>
      </c>
      <c r="B10" s="18"/>
      <c r="C10" s="18"/>
      <c r="D10" s="18"/>
      <c r="E10" s="74">
        <f>SUM(E7:E9)</f>
        <v>0</v>
      </c>
      <c r="F10" s="74">
        <f>SUM(F7:F9)</f>
        <v>0</v>
      </c>
      <c r="G10" s="74">
        <f>SUM(G7:G9)</f>
        <v>0</v>
      </c>
      <c r="H10" s="74">
        <f>SUM(H7:H9)</f>
        <v>1800000</v>
      </c>
      <c r="I10" s="74">
        <f t="shared" ref="I10:P10" si="1">SUM(I7:I9)</f>
        <v>0</v>
      </c>
      <c r="J10" s="74">
        <f t="shared" si="1"/>
        <v>1800000</v>
      </c>
      <c r="K10" s="74">
        <f t="shared" si="1"/>
        <v>0</v>
      </c>
      <c r="L10" s="74">
        <f t="shared" si="1"/>
        <v>1800000</v>
      </c>
      <c r="M10" s="74">
        <f t="shared" si="1"/>
        <v>0</v>
      </c>
      <c r="N10" s="74">
        <f t="shared" si="1"/>
        <v>1800000</v>
      </c>
      <c r="O10" s="74">
        <f t="shared" si="1"/>
        <v>0</v>
      </c>
      <c r="P10" s="74">
        <f t="shared" si="1"/>
        <v>1800000</v>
      </c>
      <c r="Q10" s="74">
        <f>SUM(E10:P10)</f>
        <v>9000000</v>
      </c>
      <c r="R10" s="1"/>
    </row>
    <row r="11" spans="1:18">
      <c r="A11" t="s">
        <v>22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t="s">
        <v>33</v>
      </c>
      <c r="E12" s="26">
        <f>'Capital forecast'!E6-500000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f t="shared" si="0"/>
        <v>0</v>
      </c>
      <c r="R12" s="1"/>
    </row>
    <row r="13" spans="1:18">
      <c r="A13" t="s">
        <v>34</v>
      </c>
      <c r="E13" s="26">
        <f>'Capital forecast'!E7+'Capital forecast'!E8-350000</f>
        <v>170000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 t="shared" si="0"/>
        <v>170000</v>
      </c>
      <c r="R13" s="1"/>
    </row>
    <row r="14" spans="1:18">
      <c r="A14" t="s">
        <v>100</v>
      </c>
      <c r="D14" s="92"/>
      <c r="E14" s="1">
        <f>'Capital forecast'!E12</f>
        <v>90000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 t="shared" si="0"/>
        <v>90000</v>
      </c>
      <c r="R14" s="1"/>
    </row>
    <row r="15" spans="1:18">
      <c r="A15" t="s">
        <v>99</v>
      </c>
      <c r="B15" t="s">
        <v>172</v>
      </c>
      <c r="F15" s="1">
        <f>'Unit cost and price'!D3*2/1000</f>
        <v>384000</v>
      </c>
      <c r="G15" s="1">
        <f>F15</f>
        <v>384000</v>
      </c>
      <c r="H15" s="1">
        <f t="shared" ref="H15:P15" si="2">G15</f>
        <v>384000</v>
      </c>
      <c r="I15" s="1">
        <f>H15</f>
        <v>384000</v>
      </c>
      <c r="J15" s="1">
        <f t="shared" si="2"/>
        <v>384000</v>
      </c>
      <c r="K15" s="1">
        <f t="shared" si="2"/>
        <v>384000</v>
      </c>
      <c r="L15" s="1">
        <f t="shared" si="2"/>
        <v>384000</v>
      </c>
      <c r="M15" s="1">
        <f t="shared" si="2"/>
        <v>384000</v>
      </c>
      <c r="N15" s="1">
        <f t="shared" si="2"/>
        <v>384000</v>
      </c>
      <c r="O15" s="1">
        <f t="shared" si="2"/>
        <v>384000</v>
      </c>
      <c r="P15" s="1">
        <f t="shared" si="2"/>
        <v>384000</v>
      </c>
      <c r="Q15" s="1">
        <f>SUM(E15:P15)</f>
        <v>4224000</v>
      </c>
      <c r="R15" s="1"/>
    </row>
    <row r="16" spans="1:18">
      <c r="A16" t="s">
        <v>292</v>
      </c>
      <c r="B16" t="s">
        <v>157</v>
      </c>
      <c r="E16" s="1">
        <f>'Unit cost and price'!D4*2/1000</f>
        <v>120000</v>
      </c>
      <c r="F16" s="1">
        <f t="shared" ref="F16:P21" si="3">E16</f>
        <v>120000</v>
      </c>
      <c r="G16" s="1">
        <f t="shared" si="3"/>
        <v>120000</v>
      </c>
      <c r="H16" s="1">
        <f t="shared" si="3"/>
        <v>120000</v>
      </c>
      <c r="I16" s="1">
        <f t="shared" si="3"/>
        <v>120000</v>
      </c>
      <c r="J16" s="1">
        <f t="shared" si="3"/>
        <v>120000</v>
      </c>
      <c r="K16" s="1">
        <f t="shared" si="3"/>
        <v>120000</v>
      </c>
      <c r="L16" s="1">
        <f t="shared" si="3"/>
        <v>120000</v>
      </c>
      <c r="M16" s="1">
        <f t="shared" si="3"/>
        <v>120000</v>
      </c>
      <c r="N16" s="1">
        <f t="shared" si="3"/>
        <v>120000</v>
      </c>
      <c r="O16" s="1">
        <f t="shared" si="3"/>
        <v>120000</v>
      </c>
      <c r="P16" s="1">
        <f t="shared" si="3"/>
        <v>120000</v>
      </c>
      <c r="Q16" s="1">
        <f t="shared" si="0"/>
        <v>1440000</v>
      </c>
      <c r="R16" s="1"/>
    </row>
    <row r="17" spans="1:18">
      <c r="A17" t="s">
        <v>102</v>
      </c>
      <c r="B17" t="s">
        <v>158</v>
      </c>
      <c r="E17" s="26">
        <f>6000+'Unit cost and price'!D5*2/1000</f>
        <v>30000</v>
      </c>
      <c r="F17" s="1">
        <f t="shared" si="3"/>
        <v>30000</v>
      </c>
      <c r="G17" s="1">
        <f t="shared" si="3"/>
        <v>30000</v>
      </c>
      <c r="H17" s="1">
        <f t="shared" si="3"/>
        <v>30000</v>
      </c>
      <c r="I17" s="1">
        <f t="shared" si="3"/>
        <v>30000</v>
      </c>
      <c r="J17" s="1">
        <f t="shared" si="3"/>
        <v>30000</v>
      </c>
      <c r="K17" s="1">
        <f t="shared" si="3"/>
        <v>30000</v>
      </c>
      <c r="L17" s="1">
        <f t="shared" si="3"/>
        <v>30000</v>
      </c>
      <c r="M17" s="1">
        <f t="shared" si="3"/>
        <v>30000</v>
      </c>
      <c r="N17" s="1">
        <f t="shared" si="3"/>
        <v>30000</v>
      </c>
      <c r="O17" s="1">
        <f t="shared" si="3"/>
        <v>30000</v>
      </c>
      <c r="P17" s="1">
        <f t="shared" si="3"/>
        <v>30000</v>
      </c>
      <c r="Q17" s="1">
        <f t="shared" si="0"/>
        <v>360000</v>
      </c>
      <c r="R17" s="1"/>
    </row>
    <row r="18" spans="1:18">
      <c r="A18" t="s">
        <v>192</v>
      </c>
      <c r="B18" t="s">
        <v>156</v>
      </c>
      <c r="F18" s="1">
        <f>'Unit cost and price'!D6*2/1000</f>
        <v>63000</v>
      </c>
      <c r="G18" s="1">
        <f>F18</f>
        <v>63000</v>
      </c>
      <c r="H18" s="1">
        <f t="shared" si="3"/>
        <v>63000</v>
      </c>
      <c r="I18" s="1">
        <f t="shared" si="3"/>
        <v>63000</v>
      </c>
      <c r="J18" s="1">
        <f t="shared" si="3"/>
        <v>63000</v>
      </c>
      <c r="K18" s="1">
        <f t="shared" si="3"/>
        <v>63000</v>
      </c>
      <c r="L18" s="1">
        <f t="shared" si="3"/>
        <v>63000</v>
      </c>
      <c r="M18" s="1">
        <f t="shared" si="3"/>
        <v>63000</v>
      </c>
      <c r="N18" s="1">
        <f t="shared" si="3"/>
        <v>63000</v>
      </c>
      <c r="O18" s="1">
        <f t="shared" si="3"/>
        <v>63000</v>
      </c>
      <c r="P18" s="1">
        <f t="shared" si="3"/>
        <v>63000</v>
      </c>
      <c r="Q18" s="1">
        <f>SUM(E18:P18)</f>
        <v>693000</v>
      </c>
      <c r="R18" s="1"/>
    </row>
    <row r="19" spans="1:18">
      <c r="A19" t="s">
        <v>200</v>
      </c>
      <c r="B19" t="s">
        <v>164</v>
      </c>
      <c r="E19" s="1">
        <f>'Unit cost and price'!D7*2/1000</f>
        <v>200000</v>
      </c>
      <c r="F19" s="1">
        <f t="shared" si="3"/>
        <v>200000</v>
      </c>
      <c r="G19" s="1">
        <f t="shared" si="3"/>
        <v>200000</v>
      </c>
      <c r="H19" s="1">
        <f t="shared" si="3"/>
        <v>200000</v>
      </c>
      <c r="I19" s="1">
        <f t="shared" si="3"/>
        <v>200000</v>
      </c>
      <c r="J19" s="1">
        <f t="shared" si="3"/>
        <v>200000</v>
      </c>
      <c r="K19" s="1">
        <f t="shared" si="3"/>
        <v>200000</v>
      </c>
      <c r="L19" s="1">
        <f t="shared" si="3"/>
        <v>200000</v>
      </c>
      <c r="M19" s="1">
        <f t="shared" si="3"/>
        <v>200000</v>
      </c>
      <c r="N19" s="1">
        <f t="shared" si="3"/>
        <v>200000</v>
      </c>
      <c r="O19" s="1">
        <f t="shared" si="3"/>
        <v>200000</v>
      </c>
      <c r="P19" s="1">
        <f t="shared" si="3"/>
        <v>200000</v>
      </c>
      <c r="Q19" s="1">
        <f t="shared" si="0"/>
        <v>2400000</v>
      </c>
      <c r="R19" s="1"/>
    </row>
    <row r="20" spans="1:18">
      <c r="A20" t="s">
        <v>117</v>
      </c>
      <c r="B20" t="s">
        <v>159</v>
      </c>
      <c r="E20" s="1">
        <f>'Unit cost and price'!D8/1000</f>
        <v>7500</v>
      </c>
      <c r="F20" s="1">
        <f t="shared" si="3"/>
        <v>7500</v>
      </c>
      <c r="G20" s="1">
        <f t="shared" si="3"/>
        <v>7500</v>
      </c>
      <c r="H20" s="1">
        <f t="shared" si="3"/>
        <v>7500</v>
      </c>
      <c r="I20" s="1">
        <f t="shared" si="3"/>
        <v>7500</v>
      </c>
      <c r="J20" s="1">
        <f t="shared" si="3"/>
        <v>7500</v>
      </c>
      <c r="K20" s="1">
        <f t="shared" si="3"/>
        <v>7500</v>
      </c>
      <c r="L20" s="1">
        <f t="shared" si="3"/>
        <v>7500</v>
      </c>
      <c r="M20" s="1">
        <f t="shared" si="3"/>
        <v>7500</v>
      </c>
      <c r="N20" s="1">
        <f t="shared" si="3"/>
        <v>7500</v>
      </c>
      <c r="O20" s="1">
        <f t="shared" si="3"/>
        <v>7500</v>
      </c>
      <c r="P20" s="1">
        <f t="shared" si="3"/>
        <v>7500</v>
      </c>
      <c r="Q20" s="1">
        <f t="shared" si="0"/>
        <v>90000</v>
      </c>
      <c r="R20" s="1"/>
    </row>
    <row r="21" spans="1:18">
      <c r="A21" t="s">
        <v>35</v>
      </c>
      <c r="B21" t="s">
        <v>36</v>
      </c>
      <c r="E21" s="26">
        <v>0</v>
      </c>
      <c r="F21" s="1">
        <f t="shared" si="3"/>
        <v>0</v>
      </c>
      <c r="G21" s="1">
        <f t="shared" si="3"/>
        <v>0</v>
      </c>
      <c r="H21" s="1">
        <f t="shared" si="3"/>
        <v>0</v>
      </c>
      <c r="I21" s="1">
        <f t="shared" si="3"/>
        <v>0</v>
      </c>
      <c r="J21" s="1">
        <f t="shared" si="3"/>
        <v>0</v>
      </c>
      <c r="K21" s="1">
        <f t="shared" si="3"/>
        <v>0</v>
      </c>
      <c r="L21" s="1">
        <f t="shared" si="3"/>
        <v>0</v>
      </c>
      <c r="M21" s="1">
        <f t="shared" si="3"/>
        <v>0</v>
      </c>
      <c r="N21" s="1">
        <f t="shared" si="3"/>
        <v>0</v>
      </c>
      <c r="O21" s="1">
        <f t="shared" si="3"/>
        <v>0</v>
      </c>
      <c r="P21" s="1">
        <f t="shared" si="3"/>
        <v>0</v>
      </c>
      <c r="Q21" s="1">
        <f t="shared" si="0"/>
        <v>0</v>
      </c>
      <c r="R21" s="1"/>
    </row>
    <row r="22" spans="1:18">
      <c r="A22" t="s">
        <v>168</v>
      </c>
      <c r="B22" t="s">
        <v>170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 t="shared" si="0"/>
        <v>0</v>
      </c>
      <c r="R22" s="1"/>
    </row>
    <row r="23" spans="1:18">
      <c r="A23" t="s">
        <v>169</v>
      </c>
      <c r="B23" t="s">
        <v>171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 t="shared" si="0"/>
        <v>0</v>
      </c>
      <c r="R23" s="1"/>
    </row>
    <row r="24" spans="1:18">
      <c r="A24" t="s">
        <v>5</v>
      </c>
      <c r="E24" s="26">
        <f>Interest!$H$5+Interest!$D$3</f>
        <v>26900</v>
      </c>
      <c r="F24" s="26">
        <f>Interest!$H$5+Interest!$D$3</f>
        <v>26900</v>
      </c>
      <c r="G24" s="26">
        <f>Interest!$H$5+Interest!$D$3</f>
        <v>26900</v>
      </c>
      <c r="H24" s="26">
        <f>Interest!$H$5+Interest!$D$3</f>
        <v>26900</v>
      </c>
      <c r="I24" s="26">
        <f>Interest!$H$5+Interest!$D$3</f>
        <v>26900</v>
      </c>
      <c r="J24" s="26">
        <f>Interest!$H$5+Interest!$D$3</f>
        <v>26900</v>
      </c>
      <c r="K24" s="26">
        <f>Interest!$H$5+Interest!$D$3</f>
        <v>26900</v>
      </c>
      <c r="L24" s="26">
        <f>Interest!$H$5+Interest!$D$3</f>
        <v>26900</v>
      </c>
      <c r="M24" s="26">
        <f>Interest!$H$5+Interest!$D$3</f>
        <v>26900</v>
      </c>
      <c r="N24" s="26">
        <f>Interest!$H$5+Interest!$D$3</f>
        <v>26900</v>
      </c>
      <c r="O24" s="26">
        <f>Interest!$H$5+Interest!$D$3</f>
        <v>26900</v>
      </c>
      <c r="P24" s="26">
        <f>Interest!$H$5+Interest!$D$3</f>
        <v>26900</v>
      </c>
      <c r="Q24" s="1">
        <f t="shared" si="0"/>
        <v>322800</v>
      </c>
      <c r="R24" s="1"/>
    </row>
    <row r="25" spans="1:18">
      <c r="A25" s="4" t="s">
        <v>23</v>
      </c>
      <c r="B25" s="4"/>
      <c r="C25" s="4"/>
      <c r="D25" s="4"/>
      <c r="E25" s="68">
        <f>SUM(E12:E24)</f>
        <v>644400</v>
      </c>
      <c r="F25" s="68">
        <f t="shared" ref="F25:Q25" si="4">SUM(F12:F24)</f>
        <v>831400</v>
      </c>
      <c r="G25" s="68">
        <f t="shared" si="4"/>
        <v>831400</v>
      </c>
      <c r="H25" s="68">
        <f t="shared" si="4"/>
        <v>831400</v>
      </c>
      <c r="I25" s="68">
        <f t="shared" si="4"/>
        <v>831400</v>
      </c>
      <c r="J25" s="68">
        <f t="shared" si="4"/>
        <v>831400</v>
      </c>
      <c r="K25" s="68">
        <f t="shared" si="4"/>
        <v>831400</v>
      </c>
      <c r="L25" s="68">
        <f t="shared" si="4"/>
        <v>831400</v>
      </c>
      <c r="M25" s="68">
        <f t="shared" si="4"/>
        <v>831400</v>
      </c>
      <c r="N25" s="68">
        <f t="shared" si="4"/>
        <v>831400</v>
      </c>
      <c r="O25" s="68">
        <f t="shared" si="4"/>
        <v>831400</v>
      </c>
      <c r="P25" s="68">
        <f t="shared" si="4"/>
        <v>831400</v>
      </c>
      <c r="Q25" s="68">
        <f t="shared" si="4"/>
        <v>9789800</v>
      </c>
      <c r="R25" s="1"/>
    </row>
    <row r="26" spans="1:18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4" t="s">
        <v>24</v>
      </c>
      <c r="B27" s="4"/>
      <c r="C27" s="4"/>
      <c r="D27" s="4"/>
      <c r="E27" s="2">
        <f>E10-E25</f>
        <v>-644400</v>
      </c>
      <c r="F27" s="2">
        <f>F10-F25</f>
        <v>-831400</v>
      </c>
      <c r="G27" s="2">
        <f>G10-G25</f>
        <v>-831400</v>
      </c>
      <c r="H27" s="2">
        <f t="shared" ref="H27:Q27" si="5">H10-H25</f>
        <v>968600</v>
      </c>
      <c r="I27" s="2">
        <f t="shared" si="5"/>
        <v>-831400</v>
      </c>
      <c r="J27" s="2">
        <f t="shared" si="5"/>
        <v>968600</v>
      </c>
      <c r="K27" s="2">
        <f t="shared" si="5"/>
        <v>-831400</v>
      </c>
      <c r="L27" s="2">
        <f t="shared" si="5"/>
        <v>968600</v>
      </c>
      <c r="M27" s="2">
        <f t="shared" si="5"/>
        <v>-831400</v>
      </c>
      <c r="N27" s="2">
        <f t="shared" si="5"/>
        <v>968600</v>
      </c>
      <c r="O27" s="2">
        <f t="shared" si="5"/>
        <v>-831400</v>
      </c>
      <c r="P27" s="2">
        <f t="shared" si="5"/>
        <v>968600</v>
      </c>
      <c r="Q27" s="2">
        <f t="shared" si="5"/>
        <v>-789800</v>
      </c>
      <c r="R27" s="1"/>
    </row>
    <row r="28" spans="1:18">
      <c r="A28" t="s">
        <v>25</v>
      </c>
      <c r="D28" s="27">
        <f>'BS 2006-07'!F13</f>
        <v>-999000</v>
      </c>
      <c r="E28" s="1">
        <f>D28</f>
        <v>-999000</v>
      </c>
      <c r="F28" s="1">
        <f t="shared" ref="F28:P28" si="6">E29</f>
        <v>-1643400</v>
      </c>
      <c r="G28" s="1">
        <f t="shared" si="6"/>
        <v>-2474800</v>
      </c>
      <c r="H28" s="1">
        <f t="shared" si="6"/>
        <v>-3306200</v>
      </c>
      <c r="I28" s="1">
        <f t="shared" si="6"/>
        <v>-2337600</v>
      </c>
      <c r="J28" s="1">
        <f t="shared" si="6"/>
        <v>-3169000</v>
      </c>
      <c r="K28" s="1">
        <f t="shared" si="6"/>
        <v>-2200400</v>
      </c>
      <c r="L28" s="1">
        <f t="shared" si="6"/>
        <v>-3031800</v>
      </c>
      <c r="M28" s="1">
        <f t="shared" si="6"/>
        <v>-2063200</v>
      </c>
      <c r="N28" s="1">
        <f t="shared" si="6"/>
        <v>-2894600</v>
      </c>
      <c r="O28" s="1">
        <f t="shared" si="6"/>
        <v>-1926000</v>
      </c>
      <c r="P28" s="1">
        <f t="shared" si="6"/>
        <v>-2757400</v>
      </c>
      <c r="Q28" s="1">
        <f>E28</f>
        <v>-999000</v>
      </c>
      <c r="R28" s="1"/>
    </row>
    <row r="29" spans="1:18" ht="15" thickBot="1">
      <c r="A29" s="4" t="s">
        <v>26</v>
      </c>
      <c r="E29" s="109">
        <f>E27+E28</f>
        <v>-1643400</v>
      </c>
      <c r="F29" s="109">
        <f t="shared" ref="F29:P29" si="7">F27+F28</f>
        <v>-2474800</v>
      </c>
      <c r="G29" s="109">
        <f t="shared" si="7"/>
        <v>-3306200</v>
      </c>
      <c r="H29" s="109">
        <f t="shared" si="7"/>
        <v>-2337600</v>
      </c>
      <c r="I29" s="109">
        <f t="shared" si="7"/>
        <v>-3169000</v>
      </c>
      <c r="J29" s="109">
        <f t="shared" si="7"/>
        <v>-2200400</v>
      </c>
      <c r="K29" s="109">
        <f t="shared" si="7"/>
        <v>-3031800</v>
      </c>
      <c r="L29" s="109">
        <f t="shared" si="7"/>
        <v>-2063200</v>
      </c>
      <c r="M29" s="109">
        <f t="shared" si="7"/>
        <v>-2894600</v>
      </c>
      <c r="N29" s="109">
        <f t="shared" si="7"/>
        <v>-1926000</v>
      </c>
      <c r="O29" s="109">
        <f t="shared" si="7"/>
        <v>-2757400</v>
      </c>
      <c r="P29" s="109">
        <f t="shared" si="7"/>
        <v>-1788800</v>
      </c>
      <c r="Q29" s="109">
        <f>SUM(Q27:Q28)</f>
        <v>-1788800</v>
      </c>
      <c r="R29" s="1"/>
    </row>
    <row r="30" spans="1:18" ht="15" thickTop="1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6"/>
      <c r="B31" s="1" t="s">
        <v>215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</sheetData>
  <mergeCells count="1">
    <mergeCell ref="E1:Q1"/>
  </mergeCells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R31"/>
  <sheetViews>
    <sheetView topLeftCell="C23" workbookViewId="0">
      <selection activeCell="P31" sqref="P31"/>
    </sheetView>
  </sheetViews>
  <sheetFormatPr baseColWidth="10" defaultColWidth="8.83203125" defaultRowHeight="14"/>
  <cols>
    <col min="1" max="1" width="27.5" customWidth="1"/>
    <col min="2" max="2" width="27.6640625" customWidth="1"/>
    <col min="3" max="3" width="1" customWidth="1"/>
    <col min="4" max="4" width="10.1640625" customWidth="1"/>
    <col min="5" max="5" width="12" customWidth="1"/>
    <col min="6" max="6" width="12.1640625" customWidth="1"/>
    <col min="7" max="7" width="12.5" customWidth="1"/>
    <col min="8" max="8" width="12.1640625" customWidth="1"/>
    <col min="9" max="10" width="12.33203125" customWidth="1"/>
    <col min="11" max="11" width="12.5" customWidth="1"/>
    <col min="12" max="12" width="12" customWidth="1"/>
    <col min="13" max="13" width="11.83203125" customWidth="1"/>
    <col min="14" max="14" width="12.5" customWidth="1"/>
    <col min="15" max="15" width="12.83203125" customWidth="1"/>
    <col min="16" max="17" width="12.1640625" customWidth="1"/>
    <col min="18" max="18" width="10.5" bestFit="1" customWidth="1"/>
  </cols>
  <sheetData>
    <row r="1" spans="1:18">
      <c r="A1" t="s">
        <v>304</v>
      </c>
      <c r="E1" s="123" t="s">
        <v>77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3" spans="1:18" s="103" customFormat="1">
      <c r="A3" s="103" t="s">
        <v>173</v>
      </c>
      <c r="B3" s="103" t="s">
        <v>174</v>
      </c>
      <c r="E3" s="103" t="s">
        <v>305</v>
      </c>
      <c r="F3" s="103" t="s">
        <v>306</v>
      </c>
      <c r="G3" s="103" t="s">
        <v>307</v>
      </c>
      <c r="H3" s="103" t="s">
        <v>308</v>
      </c>
      <c r="I3" s="103" t="s">
        <v>309</v>
      </c>
      <c r="J3" s="103" t="s">
        <v>310</v>
      </c>
      <c r="K3" s="103" t="s">
        <v>311</v>
      </c>
      <c r="L3" s="103" t="s">
        <v>312</v>
      </c>
      <c r="M3" s="103" t="s">
        <v>313</v>
      </c>
      <c r="N3" s="103" t="s">
        <v>43</v>
      </c>
      <c r="O3" s="103" t="s">
        <v>315</v>
      </c>
      <c r="P3" s="103" t="s">
        <v>316</v>
      </c>
      <c r="Q3" s="103" t="s">
        <v>196</v>
      </c>
    </row>
    <row r="4" spans="1:18" hidden="1">
      <c r="A4" t="s">
        <v>317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f>SUM(E4:P4)</f>
        <v>24</v>
      </c>
      <c r="R4" s="1"/>
    </row>
    <row r="5" spans="1:18" hidden="1">
      <c r="A5" t="s">
        <v>318</v>
      </c>
      <c r="E5" s="1"/>
      <c r="F5" s="1">
        <v>4</v>
      </c>
      <c r="G5" s="1"/>
      <c r="H5" s="1">
        <v>4</v>
      </c>
      <c r="I5" s="1"/>
      <c r="J5" s="1">
        <v>4</v>
      </c>
      <c r="K5" s="1"/>
      <c r="L5" s="1">
        <v>4</v>
      </c>
      <c r="M5" s="1"/>
      <c r="N5" s="1">
        <v>4</v>
      </c>
      <c r="O5" s="1"/>
      <c r="P5" s="1">
        <v>4</v>
      </c>
      <c r="Q5" s="1">
        <f>SUM(E5:P5)</f>
        <v>24</v>
      </c>
      <c r="R5" s="1"/>
    </row>
    <row r="6" spans="1:18" hidden="1">
      <c r="A6" t="s">
        <v>165</v>
      </c>
      <c r="E6" s="46"/>
      <c r="F6" s="46">
        <v>450000</v>
      </c>
      <c r="G6" s="46"/>
      <c r="H6" s="46">
        <f>F6</f>
        <v>450000</v>
      </c>
      <c r="I6" s="46"/>
      <c r="J6" s="46">
        <f>H6</f>
        <v>450000</v>
      </c>
      <c r="K6" s="46"/>
      <c r="L6" s="46">
        <f>J6</f>
        <v>450000</v>
      </c>
      <c r="M6" s="46"/>
      <c r="N6" s="46">
        <f>L6</f>
        <v>450000</v>
      </c>
      <c r="O6" s="46"/>
      <c r="P6" s="46">
        <f>N6</f>
        <v>450000</v>
      </c>
      <c r="Q6" s="46"/>
      <c r="R6" s="1"/>
    </row>
    <row r="7" spans="1:18">
      <c r="A7" t="s">
        <v>179</v>
      </c>
      <c r="B7" s="19"/>
      <c r="C7" s="19"/>
      <c r="D7" s="19"/>
      <c r="E7" s="8">
        <f>E4*E6</f>
        <v>0</v>
      </c>
      <c r="F7" s="1"/>
      <c r="G7" s="1">
        <f>'Year 1 IS Projection (8)'!E6*2</f>
        <v>976050</v>
      </c>
      <c r="H7" s="1">
        <f>'Year 1 IS Projection (8)'!F6*2</f>
        <v>976050</v>
      </c>
      <c r="I7" s="1">
        <f>'Year 1 IS Projection (8)'!G6*2</f>
        <v>976050</v>
      </c>
      <c r="J7" s="1">
        <f>'Year 1 IS Projection (8)'!H6*2</f>
        <v>976050</v>
      </c>
      <c r="K7" s="1">
        <f>'Year 1 IS Projection (8)'!I6*2</f>
        <v>976050</v>
      </c>
      <c r="L7" s="1">
        <f>'Year 1 IS Projection (8)'!J6*2</f>
        <v>976050</v>
      </c>
      <c r="M7" s="1">
        <f>'Year 1 IS Projection (8)'!K6*2</f>
        <v>976050</v>
      </c>
      <c r="N7" s="1">
        <f>'Year 1 IS Projection (8)'!L6*2</f>
        <v>976050</v>
      </c>
      <c r="O7" s="1">
        <f>'Year 1 IS Projection (8)'!M6*2</f>
        <v>976050</v>
      </c>
      <c r="P7" s="1">
        <f>'Year 1 IS Projection (8)'!N6*2</f>
        <v>976050</v>
      </c>
      <c r="Q7" s="8">
        <f>SUM(E7:P7)</f>
        <v>9760500</v>
      </c>
      <c r="R7" s="1"/>
    </row>
    <row r="8" spans="1:18">
      <c r="A8" t="s">
        <v>282</v>
      </c>
      <c r="E8" s="2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ref="Q8:Q24" si="0">SUM(E8:P8)</f>
        <v>0</v>
      </c>
      <c r="R8" s="1"/>
    </row>
    <row r="9" spans="1:18">
      <c r="A9" t="s">
        <v>180</v>
      </c>
      <c r="E9" s="2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0</v>
      </c>
      <c r="R9" s="1"/>
    </row>
    <row r="10" spans="1:18">
      <c r="A10" s="18" t="s">
        <v>21</v>
      </c>
      <c r="B10" s="18"/>
      <c r="C10" s="18"/>
      <c r="D10" s="18"/>
      <c r="E10" s="74">
        <f>SUM(E7:E9)</f>
        <v>0</v>
      </c>
      <c r="F10" s="74">
        <f>SUM(F7:F9)</f>
        <v>0</v>
      </c>
      <c r="G10" s="74">
        <f>SUM(G7:G9)</f>
        <v>976050</v>
      </c>
      <c r="H10" s="74">
        <f>SUM(H7:H9)</f>
        <v>976050</v>
      </c>
      <c r="I10" s="74">
        <f t="shared" ref="I10:P10" si="1">SUM(I7:I9)</f>
        <v>976050</v>
      </c>
      <c r="J10" s="74">
        <f t="shared" si="1"/>
        <v>976050</v>
      </c>
      <c r="K10" s="74">
        <f t="shared" si="1"/>
        <v>976050</v>
      </c>
      <c r="L10" s="74">
        <f t="shared" si="1"/>
        <v>976050</v>
      </c>
      <c r="M10" s="74">
        <f t="shared" si="1"/>
        <v>976050</v>
      </c>
      <c r="N10" s="74">
        <f t="shared" si="1"/>
        <v>976050</v>
      </c>
      <c r="O10" s="74">
        <f t="shared" si="1"/>
        <v>976050</v>
      </c>
      <c r="P10" s="74">
        <f t="shared" si="1"/>
        <v>976050</v>
      </c>
      <c r="Q10" s="74">
        <f>SUM(E10:P10)</f>
        <v>9760500</v>
      </c>
      <c r="R10" s="1"/>
    </row>
    <row r="11" spans="1:18">
      <c r="A11" t="s">
        <v>22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t="s">
        <v>33</v>
      </c>
      <c r="E12" s="26">
        <f>'Capital forecast'!E6-500000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f t="shared" si="0"/>
        <v>0</v>
      </c>
      <c r="R12" s="1"/>
    </row>
    <row r="13" spans="1:18">
      <c r="A13" t="s">
        <v>34</v>
      </c>
      <c r="E13" s="26">
        <f>'Capital forecast'!E7+'Capital forecast'!E8-350000</f>
        <v>170000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 t="shared" si="0"/>
        <v>170000</v>
      </c>
      <c r="R13" s="1"/>
    </row>
    <row r="14" spans="1:18">
      <c r="A14" t="s">
        <v>100</v>
      </c>
      <c r="D14" s="92"/>
      <c r="E14" s="1">
        <f>'Capital forecast'!E12</f>
        <v>90000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 t="shared" si="0"/>
        <v>90000</v>
      </c>
      <c r="R14" s="1"/>
    </row>
    <row r="15" spans="1:18">
      <c r="A15" t="s">
        <v>99</v>
      </c>
      <c r="B15" t="s">
        <v>172</v>
      </c>
      <c r="F15" s="1">
        <f>'Unit cost and price'!D3*2/1000</f>
        <v>384000</v>
      </c>
      <c r="G15" s="1">
        <f>F15</f>
        <v>384000</v>
      </c>
      <c r="H15" s="1">
        <f t="shared" ref="H15:P15" si="2">G15</f>
        <v>384000</v>
      </c>
      <c r="I15" s="1">
        <f>H15</f>
        <v>384000</v>
      </c>
      <c r="J15" s="1">
        <f t="shared" si="2"/>
        <v>384000</v>
      </c>
      <c r="K15" s="1">
        <f t="shared" si="2"/>
        <v>384000</v>
      </c>
      <c r="L15" s="1">
        <f t="shared" si="2"/>
        <v>384000</v>
      </c>
      <c r="M15" s="1">
        <f t="shared" si="2"/>
        <v>384000</v>
      </c>
      <c r="N15" s="1">
        <f t="shared" si="2"/>
        <v>384000</v>
      </c>
      <c r="O15" s="1">
        <f t="shared" si="2"/>
        <v>384000</v>
      </c>
      <c r="P15" s="1">
        <f t="shared" si="2"/>
        <v>384000</v>
      </c>
      <c r="Q15" s="1">
        <f>SUM(F15:P15)</f>
        <v>4224000</v>
      </c>
      <c r="R15" s="1"/>
    </row>
    <row r="16" spans="1:18">
      <c r="A16" t="s">
        <v>292</v>
      </c>
      <c r="B16" t="s">
        <v>157</v>
      </c>
      <c r="E16" s="1">
        <f>'Unit cost and price'!D4*2/1000</f>
        <v>120000</v>
      </c>
      <c r="F16" s="1">
        <f t="shared" ref="F16:P21" si="3">E16</f>
        <v>120000</v>
      </c>
      <c r="G16" s="1">
        <f t="shared" si="3"/>
        <v>120000</v>
      </c>
      <c r="H16" s="1">
        <f t="shared" si="3"/>
        <v>120000</v>
      </c>
      <c r="I16" s="1">
        <f t="shared" si="3"/>
        <v>120000</v>
      </c>
      <c r="J16" s="1">
        <f t="shared" si="3"/>
        <v>120000</v>
      </c>
      <c r="K16" s="1">
        <f t="shared" si="3"/>
        <v>120000</v>
      </c>
      <c r="L16" s="1">
        <f t="shared" si="3"/>
        <v>120000</v>
      </c>
      <c r="M16" s="1">
        <f t="shared" si="3"/>
        <v>120000</v>
      </c>
      <c r="N16" s="1">
        <f t="shared" si="3"/>
        <v>120000</v>
      </c>
      <c r="O16" s="1">
        <f t="shared" si="3"/>
        <v>120000</v>
      </c>
      <c r="P16" s="1">
        <f t="shared" si="3"/>
        <v>120000</v>
      </c>
      <c r="Q16" s="1">
        <f t="shared" si="0"/>
        <v>1440000</v>
      </c>
      <c r="R16" s="1"/>
    </row>
    <row r="17" spans="1:18">
      <c r="A17" t="s">
        <v>102</v>
      </c>
      <c r="B17" t="s">
        <v>158</v>
      </c>
      <c r="E17" s="26">
        <f>6000+'Unit cost and price'!D5*2/1000</f>
        <v>30000</v>
      </c>
      <c r="F17" s="1">
        <f t="shared" si="3"/>
        <v>30000</v>
      </c>
      <c r="G17" s="1">
        <f t="shared" si="3"/>
        <v>30000</v>
      </c>
      <c r="H17" s="1">
        <f t="shared" si="3"/>
        <v>30000</v>
      </c>
      <c r="I17" s="1">
        <f t="shared" si="3"/>
        <v>30000</v>
      </c>
      <c r="J17" s="1">
        <f t="shared" si="3"/>
        <v>30000</v>
      </c>
      <c r="K17" s="1">
        <f t="shared" si="3"/>
        <v>30000</v>
      </c>
      <c r="L17" s="1">
        <f t="shared" si="3"/>
        <v>30000</v>
      </c>
      <c r="M17" s="1">
        <f t="shared" si="3"/>
        <v>30000</v>
      </c>
      <c r="N17" s="1">
        <f t="shared" si="3"/>
        <v>30000</v>
      </c>
      <c r="O17" s="1">
        <f t="shared" si="3"/>
        <v>30000</v>
      </c>
      <c r="P17" s="1">
        <f t="shared" si="3"/>
        <v>30000</v>
      </c>
      <c r="Q17" s="1">
        <f t="shared" si="0"/>
        <v>360000</v>
      </c>
      <c r="R17" s="1"/>
    </row>
    <row r="18" spans="1:18">
      <c r="A18" t="s">
        <v>192</v>
      </c>
      <c r="B18" t="s">
        <v>156</v>
      </c>
      <c r="F18" s="1">
        <f>'Unit cost and price'!D6*2/1000</f>
        <v>63000</v>
      </c>
      <c r="G18" s="1">
        <f>F18</f>
        <v>63000</v>
      </c>
      <c r="H18" s="1">
        <f t="shared" si="3"/>
        <v>63000</v>
      </c>
      <c r="I18" s="1">
        <f t="shared" si="3"/>
        <v>63000</v>
      </c>
      <c r="J18" s="1">
        <f t="shared" si="3"/>
        <v>63000</v>
      </c>
      <c r="K18" s="1">
        <f t="shared" si="3"/>
        <v>63000</v>
      </c>
      <c r="L18" s="1">
        <f t="shared" si="3"/>
        <v>63000</v>
      </c>
      <c r="M18" s="1">
        <f t="shared" si="3"/>
        <v>63000</v>
      </c>
      <c r="N18" s="1">
        <f t="shared" si="3"/>
        <v>63000</v>
      </c>
      <c r="O18" s="1">
        <f t="shared" si="3"/>
        <v>63000</v>
      </c>
      <c r="P18" s="1">
        <f t="shared" si="3"/>
        <v>63000</v>
      </c>
      <c r="Q18" s="1">
        <f>SUM(F18:P18)</f>
        <v>693000</v>
      </c>
      <c r="R18" s="1"/>
    </row>
    <row r="19" spans="1:18">
      <c r="A19" t="s">
        <v>200</v>
      </c>
      <c r="B19" t="s">
        <v>164</v>
      </c>
      <c r="E19" s="1">
        <f>'Unit cost and price'!D7*2/1000</f>
        <v>200000</v>
      </c>
      <c r="F19" s="1">
        <f t="shared" si="3"/>
        <v>200000</v>
      </c>
      <c r="G19" s="1">
        <f t="shared" si="3"/>
        <v>200000</v>
      </c>
      <c r="H19" s="1">
        <f t="shared" si="3"/>
        <v>200000</v>
      </c>
      <c r="I19" s="1">
        <f t="shared" si="3"/>
        <v>200000</v>
      </c>
      <c r="J19" s="1">
        <f t="shared" si="3"/>
        <v>200000</v>
      </c>
      <c r="K19" s="1">
        <f t="shared" si="3"/>
        <v>200000</v>
      </c>
      <c r="L19" s="1">
        <f t="shared" si="3"/>
        <v>200000</v>
      </c>
      <c r="M19" s="1">
        <f t="shared" si="3"/>
        <v>200000</v>
      </c>
      <c r="N19" s="1">
        <f t="shared" si="3"/>
        <v>200000</v>
      </c>
      <c r="O19" s="1">
        <f t="shared" si="3"/>
        <v>200000</v>
      </c>
      <c r="P19" s="1">
        <f t="shared" si="3"/>
        <v>200000</v>
      </c>
      <c r="Q19" s="1">
        <f t="shared" si="0"/>
        <v>2400000</v>
      </c>
      <c r="R19" s="1"/>
    </row>
    <row r="20" spans="1:18">
      <c r="A20" t="s">
        <v>117</v>
      </c>
      <c r="B20" t="s">
        <v>159</v>
      </c>
      <c r="E20" s="1">
        <f>'Unit cost and price'!D8/1000</f>
        <v>7500</v>
      </c>
      <c r="F20" s="1">
        <f t="shared" si="3"/>
        <v>7500</v>
      </c>
      <c r="G20" s="1">
        <f t="shared" si="3"/>
        <v>7500</v>
      </c>
      <c r="H20" s="1">
        <f t="shared" si="3"/>
        <v>7500</v>
      </c>
      <c r="I20" s="1">
        <f t="shared" si="3"/>
        <v>7500</v>
      </c>
      <c r="J20" s="1">
        <f t="shared" si="3"/>
        <v>7500</v>
      </c>
      <c r="K20" s="1">
        <f t="shared" si="3"/>
        <v>7500</v>
      </c>
      <c r="L20" s="1">
        <f t="shared" si="3"/>
        <v>7500</v>
      </c>
      <c r="M20" s="1">
        <f t="shared" si="3"/>
        <v>7500</v>
      </c>
      <c r="N20" s="1">
        <f t="shared" si="3"/>
        <v>7500</v>
      </c>
      <c r="O20" s="1">
        <f t="shared" si="3"/>
        <v>7500</v>
      </c>
      <c r="P20" s="1">
        <f t="shared" si="3"/>
        <v>7500</v>
      </c>
      <c r="Q20" s="1">
        <f t="shared" si="0"/>
        <v>90000</v>
      </c>
      <c r="R20" s="1"/>
    </row>
    <row r="21" spans="1:18">
      <c r="A21" t="s">
        <v>35</v>
      </c>
      <c r="B21" t="s">
        <v>36</v>
      </c>
      <c r="E21" s="26">
        <v>0</v>
      </c>
      <c r="F21" s="1">
        <f t="shared" si="3"/>
        <v>0</v>
      </c>
      <c r="G21" s="1">
        <f t="shared" si="3"/>
        <v>0</v>
      </c>
      <c r="H21" s="1">
        <f t="shared" si="3"/>
        <v>0</v>
      </c>
      <c r="I21" s="1">
        <f t="shared" si="3"/>
        <v>0</v>
      </c>
      <c r="J21" s="1">
        <f t="shared" si="3"/>
        <v>0</v>
      </c>
      <c r="K21" s="1">
        <f t="shared" si="3"/>
        <v>0</v>
      </c>
      <c r="L21" s="1">
        <f t="shared" si="3"/>
        <v>0</v>
      </c>
      <c r="M21" s="1">
        <f t="shared" si="3"/>
        <v>0</v>
      </c>
      <c r="N21" s="1">
        <f t="shared" si="3"/>
        <v>0</v>
      </c>
      <c r="O21" s="1">
        <f t="shared" si="3"/>
        <v>0</v>
      </c>
      <c r="P21" s="1">
        <f t="shared" si="3"/>
        <v>0</v>
      </c>
      <c r="Q21" s="1">
        <f t="shared" si="0"/>
        <v>0</v>
      </c>
      <c r="R21" s="1"/>
    </row>
    <row r="22" spans="1:18">
      <c r="A22" t="s">
        <v>168</v>
      </c>
      <c r="B22" t="s">
        <v>170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 t="shared" si="0"/>
        <v>0</v>
      </c>
      <c r="R22" s="1"/>
    </row>
    <row r="23" spans="1:18">
      <c r="A23" t="s">
        <v>169</v>
      </c>
      <c r="B23" t="s">
        <v>171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 t="shared" si="0"/>
        <v>0</v>
      </c>
      <c r="R23" s="1"/>
    </row>
    <row r="24" spans="1:18">
      <c r="A24" t="s">
        <v>5</v>
      </c>
      <c r="E24" s="26">
        <f>Interest!$H$5+Interest!$D$3</f>
        <v>26900</v>
      </c>
      <c r="F24" s="26">
        <f>Interest!$H$5+Interest!$D$3</f>
        <v>26900</v>
      </c>
      <c r="G24" s="26">
        <f>Interest!$H$5+Interest!$D$3</f>
        <v>26900</v>
      </c>
      <c r="H24" s="26">
        <f>Interest!$H$5+Interest!$D$3</f>
        <v>26900</v>
      </c>
      <c r="I24" s="26">
        <f>Interest!$H$5+Interest!$D$3</f>
        <v>26900</v>
      </c>
      <c r="J24" s="26">
        <f>Interest!$H$5+Interest!$D$3</f>
        <v>26900</v>
      </c>
      <c r="K24" s="26">
        <f>Interest!$H$5+Interest!$D$3</f>
        <v>26900</v>
      </c>
      <c r="L24" s="26">
        <f>Interest!$H$5+Interest!$D$3</f>
        <v>26900</v>
      </c>
      <c r="M24" s="26">
        <f>Interest!$H$5+Interest!$D$3</f>
        <v>26900</v>
      </c>
      <c r="N24" s="26">
        <f>Interest!$H$5+Interest!$D$3</f>
        <v>26900</v>
      </c>
      <c r="O24" s="26">
        <f>Interest!$H$5+Interest!$D$3</f>
        <v>26900</v>
      </c>
      <c r="P24" s="26">
        <f>Interest!$H$5+Interest!$D$3</f>
        <v>26900</v>
      </c>
      <c r="Q24" s="1">
        <f t="shared" si="0"/>
        <v>322800</v>
      </c>
      <c r="R24" s="1"/>
    </row>
    <row r="25" spans="1:18">
      <c r="A25" s="4" t="s">
        <v>23</v>
      </c>
      <c r="B25" s="4"/>
      <c r="C25" s="4"/>
      <c r="D25" s="4"/>
      <c r="E25" s="68">
        <f>SUM(E12:E24)</f>
        <v>644400</v>
      </c>
      <c r="F25" s="68">
        <f t="shared" ref="F25:Q25" si="4">SUM(F12:F24)</f>
        <v>831400</v>
      </c>
      <c r="G25" s="68">
        <f t="shared" si="4"/>
        <v>831400</v>
      </c>
      <c r="H25" s="68">
        <f t="shared" si="4"/>
        <v>831400</v>
      </c>
      <c r="I25" s="68">
        <f t="shared" si="4"/>
        <v>831400</v>
      </c>
      <c r="J25" s="68">
        <f t="shared" si="4"/>
        <v>831400</v>
      </c>
      <c r="K25" s="68">
        <f t="shared" si="4"/>
        <v>831400</v>
      </c>
      <c r="L25" s="68">
        <f t="shared" si="4"/>
        <v>831400</v>
      </c>
      <c r="M25" s="68">
        <f t="shared" si="4"/>
        <v>831400</v>
      </c>
      <c r="N25" s="68">
        <f t="shared" si="4"/>
        <v>831400</v>
      </c>
      <c r="O25" s="68">
        <f t="shared" si="4"/>
        <v>831400</v>
      </c>
      <c r="P25" s="68">
        <f t="shared" si="4"/>
        <v>831400</v>
      </c>
      <c r="Q25" s="68">
        <f t="shared" si="4"/>
        <v>9789800</v>
      </c>
      <c r="R25" s="1"/>
    </row>
    <row r="26" spans="1:18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4" t="s">
        <v>24</v>
      </c>
      <c r="B27" s="4"/>
      <c r="C27" s="4"/>
      <c r="D27" s="4"/>
      <c r="E27" s="2">
        <f>E10-E25</f>
        <v>-644400</v>
      </c>
      <c r="F27" s="2">
        <f>F10-F25</f>
        <v>-831400</v>
      </c>
      <c r="G27" s="2">
        <f>G10-G25</f>
        <v>144650</v>
      </c>
      <c r="H27" s="2">
        <f t="shared" ref="H27:Q27" si="5">H10-H25</f>
        <v>144650</v>
      </c>
      <c r="I27" s="2">
        <f t="shared" si="5"/>
        <v>144650</v>
      </c>
      <c r="J27" s="2">
        <f t="shared" si="5"/>
        <v>144650</v>
      </c>
      <c r="K27" s="2">
        <f t="shared" si="5"/>
        <v>144650</v>
      </c>
      <c r="L27" s="2">
        <f t="shared" si="5"/>
        <v>144650</v>
      </c>
      <c r="M27" s="2">
        <f t="shared" si="5"/>
        <v>144650</v>
      </c>
      <c r="N27" s="2">
        <f t="shared" si="5"/>
        <v>144650</v>
      </c>
      <c r="O27" s="2">
        <f t="shared" si="5"/>
        <v>144650</v>
      </c>
      <c r="P27" s="2">
        <f t="shared" si="5"/>
        <v>144650</v>
      </c>
      <c r="Q27" s="2">
        <f t="shared" si="5"/>
        <v>-29300</v>
      </c>
      <c r="R27" s="1"/>
    </row>
    <row r="28" spans="1:18">
      <c r="A28" t="s">
        <v>25</v>
      </c>
      <c r="D28" s="27">
        <f>'BS 2006-07'!F13</f>
        <v>-999000</v>
      </c>
      <c r="E28" s="1">
        <f>D28</f>
        <v>-999000</v>
      </c>
      <c r="F28" s="1">
        <f t="shared" ref="F28:P28" si="6">E29</f>
        <v>-1643400</v>
      </c>
      <c r="G28" s="1">
        <f t="shared" si="6"/>
        <v>-2474800</v>
      </c>
      <c r="H28" s="1">
        <f t="shared" si="6"/>
        <v>-2330150</v>
      </c>
      <c r="I28" s="1">
        <f t="shared" si="6"/>
        <v>-2185500</v>
      </c>
      <c r="J28" s="1">
        <f t="shared" si="6"/>
        <v>-2040850</v>
      </c>
      <c r="K28" s="1">
        <f t="shared" si="6"/>
        <v>-1896200</v>
      </c>
      <c r="L28" s="1">
        <f t="shared" si="6"/>
        <v>-1751550</v>
      </c>
      <c r="M28" s="1">
        <f t="shared" si="6"/>
        <v>-1606900</v>
      </c>
      <c r="N28" s="1">
        <f t="shared" si="6"/>
        <v>-1462250</v>
      </c>
      <c r="O28" s="1">
        <f t="shared" si="6"/>
        <v>-1317600</v>
      </c>
      <c r="P28" s="1">
        <f t="shared" si="6"/>
        <v>-1172950</v>
      </c>
      <c r="Q28" s="1">
        <f>E28</f>
        <v>-999000</v>
      </c>
      <c r="R28" s="1"/>
    </row>
    <row r="29" spans="1:18" ht="15" thickBot="1">
      <c r="A29" s="4" t="s">
        <v>26</v>
      </c>
      <c r="E29" s="109">
        <f>E27+E28</f>
        <v>-1643400</v>
      </c>
      <c r="F29" s="109">
        <f t="shared" ref="F29:P29" si="7">F27+F28</f>
        <v>-2474800</v>
      </c>
      <c r="G29" s="109">
        <f t="shared" si="7"/>
        <v>-2330150</v>
      </c>
      <c r="H29" s="109">
        <f t="shared" si="7"/>
        <v>-2185500</v>
      </c>
      <c r="I29" s="109">
        <f t="shared" si="7"/>
        <v>-2040850</v>
      </c>
      <c r="J29" s="109">
        <f t="shared" si="7"/>
        <v>-1896200</v>
      </c>
      <c r="K29" s="109">
        <f t="shared" si="7"/>
        <v>-1751550</v>
      </c>
      <c r="L29" s="109">
        <f t="shared" si="7"/>
        <v>-1606900</v>
      </c>
      <c r="M29" s="109">
        <f t="shared" si="7"/>
        <v>-1462250</v>
      </c>
      <c r="N29" s="109">
        <f t="shared" si="7"/>
        <v>-1317600</v>
      </c>
      <c r="O29" s="109">
        <f t="shared" si="7"/>
        <v>-1172950</v>
      </c>
      <c r="P29" s="109">
        <f t="shared" si="7"/>
        <v>-1028300</v>
      </c>
      <c r="Q29" s="109">
        <f>SUM(Q27:Q28)</f>
        <v>-1028300</v>
      </c>
      <c r="R29" s="1"/>
    </row>
    <row r="30" spans="1:18" ht="15" thickTop="1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6"/>
      <c r="B31" s="1" t="s">
        <v>215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</sheetData>
  <sheetCalcPr fullCalcOnLoad="1"/>
  <mergeCells count="1">
    <mergeCell ref="E1:Q1"/>
  </mergeCells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J11"/>
  <sheetViews>
    <sheetView workbookViewId="0">
      <selection activeCell="H15" sqref="H15"/>
    </sheetView>
  </sheetViews>
  <sheetFormatPr baseColWidth="10" defaultColWidth="11.5" defaultRowHeight="14"/>
  <cols>
    <col min="1" max="1" width="45.33203125" customWidth="1"/>
    <col min="7" max="7" width="15.33203125" customWidth="1"/>
    <col min="8" max="8" width="15.5" customWidth="1"/>
  </cols>
  <sheetData>
    <row r="1" spans="1:10">
      <c r="A1" s="111"/>
      <c r="B1" s="111"/>
      <c r="C1" s="111"/>
      <c r="D1" s="111" t="s">
        <v>267</v>
      </c>
      <c r="E1" s="111"/>
      <c r="F1" s="111"/>
      <c r="G1" s="111"/>
      <c r="H1" s="111"/>
      <c r="I1" s="1"/>
      <c r="J1" s="1"/>
    </row>
    <row r="2" spans="1:10">
      <c r="A2" s="111" t="s">
        <v>216</v>
      </c>
      <c r="B2" s="112"/>
      <c r="C2" s="111"/>
      <c r="D2" s="112">
        <v>750000</v>
      </c>
      <c r="E2" s="111"/>
      <c r="F2" s="111"/>
      <c r="G2" s="111"/>
      <c r="H2" s="111"/>
      <c r="I2" s="1"/>
      <c r="J2" s="1"/>
    </row>
    <row r="3" spans="1:10">
      <c r="A3" s="111" t="s">
        <v>4</v>
      </c>
      <c r="B3" s="111"/>
      <c r="C3" s="111"/>
      <c r="D3" s="112">
        <v>16000</v>
      </c>
      <c r="E3" s="111"/>
      <c r="F3" s="111"/>
      <c r="G3" s="111"/>
      <c r="H3" s="111"/>
      <c r="I3" s="1"/>
      <c r="J3" s="1">
        <f>16*12</f>
        <v>192</v>
      </c>
    </row>
    <row r="4" spans="1:10">
      <c r="A4" s="111" t="s">
        <v>217</v>
      </c>
      <c r="B4" s="111"/>
      <c r="C4" s="111" t="s">
        <v>264</v>
      </c>
      <c r="D4" s="111" t="s">
        <v>223</v>
      </c>
      <c r="E4" s="111" t="s">
        <v>224</v>
      </c>
      <c r="F4" s="111" t="s">
        <v>225</v>
      </c>
      <c r="G4" s="111" t="s">
        <v>20</v>
      </c>
      <c r="H4" s="111" t="s">
        <v>226</v>
      </c>
      <c r="I4" s="1"/>
      <c r="J4" s="1"/>
    </row>
    <row r="5" spans="1:10">
      <c r="A5" s="111"/>
      <c r="B5" s="111"/>
      <c r="C5" s="111" t="s">
        <v>218</v>
      </c>
      <c r="D5" s="113">
        <v>750000</v>
      </c>
      <c r="E5" s="113">
        <v>192000</v>
      </c>
      <c r="F5" s="113">
        <f>D5-E5</f>
        <v>558000</v>
      </c>
      <c r="G5" s="116">
        <f>(D5+F5)/2*0.2</f>
        <v>130800</v>
      </c>
      <c r="H5" s="116">
        <f>G5/12</f>
        <v>10900</v>
      </c>
      <c r="I5" s="1"/>
      <c r="J5" s="1"/>
    </row>
    <row r="6" spans="1:10">
      <c r="A6" s="111"/>
      <c r="B6" s="111"/>
      <c r="C6" s="111" t="s">
        <v>219</v>
      </c>
      <c r="D6" s="113">
        <f>F5</f>
        <v>558000</v>
      </c>
      <c r="E6" s="113">
        <f>E5</f>
        <v>192000</v>
      </c>
      <c r="F6" s="113">
        <f t="shared" ref="F6:F9" si="0">D6-E6</f>
        <v>366000</v>
      </c>
      <c r="G6" s="116">
        <f t="shared" ref="G6:G9" si="1">(D6+F6)/2*0.2</f>
        <v>92400</v>
      </c>
      <c r="H6" s="116">
        <f t="shared" ref="H6:H10" si="2">G6/12</f>
        <v>7700</v>
      </c>
      <c r="I6" s="1"/>
      <c r="J6" s="1"/>
    </row>
    <row r="7" spans="1:10">
      <c r="A7" s="111"/>
      <c r="B7" s="111"/>
      <c r="C7" s="111" t="s">
        <v>220</v>
      </c>
      <c r="D7" s="113">
        <f t="shared" ref="D7:D9" si="3">F6</f>
        <v>366000</v>
      </c>
      <c r="E7" s="113">
        <f>E6</f>
        <v>192000</v>
      </c>
      <c r="F7" s="113">
        <f t="shared" si="0"/>
        <v>174000</v>
      </c>
      <c r="G7" s="116">
        <f t="shared" si="1"/>
        <v>54000</v>
      </c>
      <c r="H7" s="116">
        <f t="shared" si="2"/>
        <v>4500</v>
      </c>
      <c r="I7" s="1"/>
      <c r="J7" s="1"/>
    </row>
    <row r="8" spans="1:10">
      <c r="A8" s="111"/>
      <c r="B8" s="111"/>
      <c r="C8" s="111" t="s">
        <v>221</v>
      </c>
      <c r="D8" s="113">
        <f t="shared" si="3"/>
        <v>174000</v>
      </c>
      <c r="E8" s="113">
        <v>174000</v>
      </c>
      <c r="F8" s="113">
        <f t="shared" si="0"/>
        <v>0</v>
      </c>
      <c r="G8" s="116">
        <f t="shared" si="1"/>
        <v>17400</v>
      </c>
      <c r="H8" s="116">
        <f t="shared" si="2"/>
        <v>1450</v>
      </c>
      <c r="I8" s="1"/>
      <c r="J8" s="1"/>
    </row>
    <row r="9" spans="1:10">
      <c r="A9" s="111"/>
      <c r="B9" s="111"/>
      <c r="C9" s="111" t="s">
        <v>222</v>
      </c>
      <c r="D9" s="113">
        <f t="shared" si="3"/>
        <v>0</v>
      </c>
      <c r="E9" s="113">
        <v>0</v>
      </c>
      <c r="F9" s="113">
        <f t="shared" si="0"/>
        <v>0</v>
      </c>
      <c r="G9" s="116">
        <f t="shared" si="1"/>
        <v>0</v>
      </c>
      <c r="H9" s="116">
        <f t="shared" si="2"/>
        <v>0</v>
      </c>
      <c r="I9" s="1"/>
      <c r="J9" s="1"/>
    </row>
    <row r="10" spans="1:10">
      <c r="A10" s="111"/>
      <c r="B10" s="111"/>
      <c r="C10" s="111"/>
      <c r="D10" s="111"/>
      <c r="E10" s="114">
        <f>SUM(E5:E9)</f>
        <v>750000</v>
      </c>
      <c r="F10" s="111"/>
      <c r="G10" s="117">
        <f>SUM(G5:G9)</f>
        <v>294600</v>
      </c>
      <c r="H10" s="118">
        <f t="shared" si="2"/>
        <v>24550</v>
      </c>
    </row>
    <row r="11" spans="1:10">
      <c r="A11" s="115"/>
      <c r="B11" s="115"/>
      <c r="C11" s="115"/>
      <c r="D11" s="115"/>
      <c r="E11" s="115"/>
      <c r="F11" s="115"/>
      <c r="G11" s="115"/>
      <c r="H11" s="115"/>
    </row>
  </sheetData>
  <phoneticPr fontId="10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N51"/>
  <sheetViews>
    <sheetView workbookViewId="0">
      <selection activeCell="J22" sqref="J22"/>
    </sheetView>
  </sheetViews>
  <sheetFormatPr baseColWidth="10" defaultColWidth="8.83203125" defaultRowHeight="14"/>
  <cols>
    <col min="1" max="1" width="38" customWidth="1"/>
    <col min="2" max="2" width="40.6640625" customWidth="1"/>
    <col min="3" max="3" width="15.6640625" customWidth="1"/>
    <col min="4" max="4" width="12" customWidth="1"/>
    <col min="5" max="5" width="11.5" customWidth="1"/>
    <col min="6" max="6" width="12.5" customWidth="1"/>
    <col min="7" max="7" width="12" customWidth="1"/>
    <col min="8" max="8" width="12.5" customWidth="1"/>
    <col min="9" max="9" width="11.83203125" customWidth="1"/>
    <col min="10" max="10" width="12.5" customWidth="1"/>
    <col min="11" max="11" width="12.1640625" customWidth="1"/>
    <col min="12" max="12" width="12" customWidth="1"/>
    <col min="13" max="13" width="12.1640625" customWidth="1"/>
  </cols>
  <sheetData>
    <row r="1" spans="1:13" ht="18">
      <c r="C1" s="126" t="s">
        <v>85</v>
      </c>
      <c r="D1" s="126"/>
      <c r="E1" s="126"/>
      <c r="F1" s="126"/>
      <c r="G1" s="126"/>
      <c r="H1" s="126"/>
      <c r="I1" s="11"/>
      <c r="J1" s="11"/>
      <c r="K1" s="11"/>
    </row>
    <row r="2" spans="1:13" s="45" customFormat="1">
      <c r="A2" s="45" t="s">
        <v>264</v>
      </c>
      <c r="C2" s="45">
        <v>1</v>
      </c>
      <c r="D2" s="45">
        <v>2</v>
      </c>
      <c r="E2" s="45">
        <v>3</v>
      </c>
      <c r="F2" s="45">
        <v>4</v>
      </c>
      <c r="G2" s="45">
        <v>5</v>
      </c>
      <c r="H2" s="45" t="s">
        <v>196</v>
      </c>
      <c r="I2" s="76"/>
      <c r="J2" s="76"/>
      <c r="K2" s="76"/>
      <c r="L2" s="76"/>
    </row>
    <row r="3" spans="1:13">
      <c r="A3" t="s">
        <v>108</v>
      </c>
      <c r="C3" s="81">
        <v>24</v>
      </c>
      <c r="D3" s="81">
        <v>24</v>
      </c>
      <c r="E3" s="81">
        <v>24</v>
      </c>
      <c r="F3" s="81">
        <v>24</v>
      </c>
      <c r="G3" s="81">
        <v>24</v>
      </c>
      <c r="H3" s="82">
        <f>SUM(B3:G3)</f>
        <v>120</v>
      </c>
      <c r="I3" s="11"/>
      <c r="J3" s="11"/>
      <c r="K3" s="11"/>
      <c r="L3" s="11"/>
      <c r="M3" s="11"/>
    </row>
    <row r="4" spans="1:13">
      <c r="A4" t="s">
        <v>109</v>
      </c>
      <c r="B4" s="17" t="s">
        <v>111</v>
      </c>
      <c r="C4" s="11">
        <v>450000</v>
      </c>
      <c r="D4" s="11">
        <f>C4</f>
        <v>450000</v>
      </c>
      <c r="E4" s="11">
        <f>D4</f>
        <v>450000</v>
      </c>
      <c r="F4" s="11">
        <f>E4</f>
        <v>450000</v>
      </c>
      <c r="G4" s="11">
        <f>F4</f>
        <v>450000</v>
      </c>
      <c r="H4" s="1">
        <f t="shared" ref="H4:H5" si="0">SUM(B4:G4)</f>
        <v>2250000</v>
      </c>
      <c r="I4" s="11"/>
      <c r="J4" s="11"/>
      <c r="K4" s="11"/>
      <c r="L4" s="11"/>
      <c r="M4" s="11"/>
    </row>
    <row r="5" spans="1:13">
      <c r="A5" t="s">
        <v>211</v>
      </c>
      <c r="C5" s="77">
        <f>C4*C3</f>
        <v>10800000</v>
      </c>
      <c r="D5" s="77">
        <f t="shared" ref="D5:G5" si="1">D4*D3</f>
        <v>10800000</v>
      </c>
      <c r="E5" s="77">
        <f t="shared" si="1"/>
        <v>10800000</v>
      </c>
      <c r="F5" s="77">
        <f t="shared" si="1"/>
        <v>10800000</v>
      </c>
      <c r="G5" s="77">
        <f t="shared" si="1"/>
        <v>10800000</v>
      </c>
      <c r="H5" s="66">
        <f t="shared" si="0"/>
        <v>54000000</v>
      </c>
      <c r="I5" s="11"/>
      <c r="J5" s="11"/>
      <c r="K5" s="11"/>
      <c r="L5" s="11"/>
      <c r="M5" s="11"/>
    </row>
    <row r="6" spans="1:13">
      <c r="A6" s="51" t="s">
        <v>110</v>
      </c>
      <c r="C6" s="11"/>
      <c r="D6" s="11"/>
      <c r="E6" s="11"/>
      <c r="F6" s="11"/>
      <c r="G6" s="11"/>
      <c r="H6" s="8"/>
      <c r="I6" s="11"/>
      <c r="J6" s="11"/>
      <c r="K6" s="11"/>
    </row>
    <row r="7" spans="1:13">
      <c r="A7" t="s">
        <v>99</v>
      </c>
      <c r="B7" t="s">
        <v>172</v>
      </c>
      <c r="C7" s="24">
        <f>8000*24*20*1.2</f>
        <v>4608000</v>
      </c>
      <c r="D7" s="24">
        <f t="shared" ref="D7:E16" si="2">C7</f>
        <v>4608000</v>
      </c>
      <c r="E7" s="24">
        <f t="shared" si="2"/>
        <v>4608000</v>
      </c>
      <c r="F7" s="24">
        <f t="shared" ref="F7:G7" si="3">E7</f>
        <v>4608000</v>
      </c>
      <c r="G7" s="24">
        <f t="shared" si="3"/>
        <v>4608000</v>
      </c>
      <c r="H7" s="29">
        <f t="shared" ref="H7:H16" si="4">SUM(B7:G7)</f>
        <v>23040000</v>
      </c>
      <c r="I7" s="24"/>
      <c r="J7" s="24"/>
      <c r="K7" s="24"/>
      <c r="L7" s="24"/>
      <c r="M7" s="24"/>
    </row>
    <row r="8" spans="1:13">
      <c r="A8" t="s">
        <v>292</v>
      </c>
      <c r="B8" t="s">
        <v>157</v>
      </c>
      <c r="C8" s="24">
        <f>60000*24</f>
        <v>1440000</v>
      </c>
      <c r="D8" s="24">
        <f t="shared" si="2"/>
        <v>1440000</v>
      </c>
      <c r="E8" s="11">
        <f t="shared" si="2"/>
        <v>1440000</v>
      </c>
      <c r="F8" s="11">
        <f t="shared" ref="F8:G10" si="5">E8</f>
        <v>1440000</v>
      </c>
      <c r="G8" s="11">
        <f t="shared" si="5"/>
        <v>1440000</v>
      </c>
      <c r="H8" s="1">
        <f t="shared" si="4"/>
        <v>7200000</v>
      </c>
      <c r="I8" s="11"/>
      <c r="J8" s="11"/>
      <c r="K8" s="11"/>
      <c r="L8" s="11"/>
    </row>
    <row r="9" spans="1:13">
      <c r="A9" t="s">
        <v>102</v>
      </c>
      <c r="B9" t="s">
        <v>158</v>
      </c>
      <c r="C9" s="28">
        <f>12000*24</f>
        <v>288000</v>
      </c>
      <c r="D9" s="11">
        <f t="shared" si="2"/>
        <v>288000</v>
      </c>
      <c r="E9" s="11">
        <f t="shared" si="2"/>
        <v>288000</v>
      </c>
      <c r="F9" s="11">
        <f t="shared" si="5"/>
        <v>288000</v>
      </c>
      <c r="G9" s="11">
        <f t="shared" si="5"/>
        <v>288000</v>
      </c>
      <c r="H9" s="1">
        <f t="shared" si="4"/>
        <v>1440000</v>
      </c>
      <c r="I9" s="11"/>
      <c r="J9" s="11"/>
      <c r="K9" s="11"/>
      <c r="L9" s="11"/>
    </row>
    <row r="10" spans="1:13">
      <c r="A10" t="s">
        <v>192</v>
      </c>
      <c r="B10" t="s">
        <v>156</v>
      </c>
      <c r="C10" s="24">
        <f>9*3500*24</f>
        <v>756000</v>
      </c>
      <c r="D10" s="11">
        <f t="shared" si="2"/>
        <v>756000</v>
      </c>
      <c r="E10" s="11">
        <f t="shared" si="2"/>
        <v>756000</v>
      </c>
      <c r="F10" s="11">
        <f>E10</f>
        <v>756000</v>
      </c>
      <c r="G10" s="11">
        <f t="shared" si="5"/>
        <v>756000</v>
      </c>
      <c r="H10" s="1">
        <f t="shared" si="4"/>
        <v>3780000</v>
      </c>
      <c r="I10" s="11"/>
      <c r="J10" s="11"/>
      <c r="K10" s="11"/>
      <c r="L10" s="11"/>
    </row>
    <row r="11" spans="1:13">
      <c r="A11" t="s">
        <v>82</v>
      </c>
      <c r="C11" s="85">
        <f>SUM(C7:C10)</f>
        <v>7092000</v>
      </c>
      <c r="D11" s="85">
        <f t="shared" ref="D11:H11" si="6">SUM(D7:D10)</f>
        <v>7092000</v>
      </c>
      <c r="E11" s="85">
        <f t="shared" si="6"/>
        <v>7092000</v>
      </c>
      <c r="F11" s="85">
        <f t="shared" si="6"/>
        <v>7092000</v>
      </c>
      <c r="G11" s="85">
        <f t="shared" si="6"/>
        <v>7092000</v>
      </c>
      <c r="H11" s="85">
        <f t="shared" si="6"/>
        <v>35460000</v>
      </c>
      <c r="I11" s="11"/>
      <c r="J11" s="11"/>
      <c r="K11" s="11"/>
      <c r="L11" s="11"/>
    </row>
    <row r="12" spans="1:13">
      <c r="A12" s="51" t="s">
        <v>81</v>
      </c>
      <c r="C12" s="86"/>
      <c r="D12" s="86"/>
      <c r="E12" s="86"/>
      <c r="F12" s="86"/>
      <c r="G12" s="86"/>
      <c r="H12" s="86"/>
      <c r="I12" s="11"/>
      <c r="J12" s="11"/>
      <c r="K12" s="11"/>
      <c r="L12" s="11"/>
    </row>
    <row r="13" spans="1:13">
      <c r="A13" t="s">
        <v>200</v>
      </c>
      <c r="B13" t="s">
        <v>164</v>
      </c>
      <c r="C13" s="28">
        <f>100000*24</f>
        <v>2400000</v>
      </c>
      <c r="D13" s="11">
        <f t="shared" si="2"/>
        <v>2400000</v>
      </c>
      <c r="E13" s="11">
        <f t="shared" si="2"/>
        <v>2400000</v>
      </c>
      <c r="F13" s="11">
        <f t="shared" ref="F13:G15" si="7">E13</f>
        <v>2400000</v>
      </c>
      <c r="G13" s="11">
        <f t="shared" si="7"/>
        <v>2400000</v>
      </c>
      <c r="H13" s="1">
        <f t="shared" si="4"/>
        <v>12000000</v>
      </c>
      <c r="I13" s="11"/>
      <c r="J13" s="11"/>
      <c r="K13" s="11"/>
      <c r="L13" s="11"/>
    </row>
    <row r="14" spans="1:13">
      <c r="A14" t="s">
        <v>117</v>
      </c>
      <c r="B14" t="s">
        <v>159</v>
      </c>
      <c r="C14" s="24">
        <f>15000*12</f>
        <v>180000</v>
      </c>
      <c r="D14" s="11">
        <f t="shared" si="2"/>
        <v>180000</v>
      </c>
      <c r="E14" s="11">
        <f t="shared" si="2"/>
        <v>180000</v>
      </c>
      <c r="F14" s="11">
        <f t="shared" si="7"/>
        <v>180000</v>
      </c>
      <c r="G14" s="11">
        <f t="shared" si="7"/>
        <v>180000</v>
      </c>
      <c r="H14" s="1">
        <f t="shared" si="4"/>
        <v>900000</v>
      </c>
      <c r="I14" s="11"/>
      <c r="J14" s="11"/>
      <c r="K14" s="11"/>
      <c r="L14" s="11"/>
    </row>
    <row r="15" spans="1:13">
      <c r="A15" t="s">
        <v>168</v>
      </c>
      <c r="B15" t="s">
        <v>170</v>
      </c>
      <c r="C15" s="24">
        <f>2437.5*24</f>
        <v>58500</v>
      </c>
      <c r="D15" s="11">
        <f t="shared" si="2"/>
        <v>58500</v>
      </c>
      <c r="E15" s="11">
        <f t="shared" si="2"/>
        <v>58500</v>
      </c>
      <c r="F15" s="11">
        <f t="shared" si="7"/>
        <v>58500</v>
      </c>
      <c r="G15" s="11">
        <f t="shared" si="7"/>
        <v>58500</v>
      </c>
      <c r="H15" s="1">
        <f t="shared" si="4"/>
        <v>292500</v>
      </c>
      <c r="I15" s="11"/>
      <c r="J15" s="11"/>
      <c r="K15" s="11"/>
      <c r="L15" s="11"/>
    </row>
    <row r="16" spans="1:13">
      <c r="A16" t="s">
        <v>169</v>
      </c>
      <c r="B16" t="s">
        <v>32</v>
      </c>
      <c r="C16" s="24">
        <f>1250*24</f>
        <v>30000</v>
      </c>
      <c r="D16" s="11">
        <f t="shared" si="2"/>
        <v>30000</v>
      </c>
      <c r="E16" s="11">
        <f t="shared" si="2"/>
        <v>30000</v>
      </c>
      <c r="F16" s="11"/>
      <c r="G16" s="11"/>
      <c r="H16" s="1">
        <f t="shared" si="4"/>
        <v>90000</v>
      </c>
      <c r="I16" s="11"/>
      <c r="J16" s="13"/>
      <c r="K16" s="11"/>
      <c r="L16" s="11"/>
    </row>
    <row r="17" spans="1:14">
      <c r="A17" t="s">
        <v>177</v>
      </c>
      <c r="C17" s="12">
        <f>Interest!G5</f>
        <v>130800</v>
      </c>
      <c r="D17" s="12">
        <f>Interest!G6</f>
        <v>92400</v>
      </c>
      <c r="E17" s="12">
        <f>Interest!G7</f>
        <v>54000</v>
      </c>
      <c r="F17" s="12">
        <f>Interest!G8</f>
        <v>17400</v>
      </c>
      <c r="G17" s="110">
        <v>0</v>
      </c>
      <c r="H17" s="29">
        <f>SUM(B17:F17)</f>
        <v>294600</v>
      </c>
      <c r="I17" s="11"/>
      <c r="J17" s="11"/>
      <c r="K17" s="11"/>
      <c r="L17" s="11"/>
    </row>
    <row r="18" spans="1:14">
      <c r="A18" t="s">
        <v>83</v>
      </c>
      <c r="C18" s="119">
        <f>SUM(C13:C17)</f>
        <v>2799300</v>
      </c>
      <c r="D18" s="119">
        <f t="shared" ref="D18:H18" si="8">SUM(D13:D17)</f>
        <v>2760900</v>
      </c>
      <c r="E18" s="119">
        <f t="shared" si="8"/>
        <v>2722500</v>
      </c>
      <c r="F18" s="119">
        <f t="shared" si="8"/>
        <v>2655900</v>
      </c>
      <c r="G18" s="119">
        <f t="shared" si="8"/>
        <v>2638500</v>
      </c>
      <c r="H18" s="119">
        <f t="shared" si="8"/>
        <v>13577100</v>
      </c>
      <c r="I18" s="11"/>
      <c r="J18" s="11"/>
      <c r="K18" s="11"/>
      <c r="L18" s="11"/>
    </row>
    <row r="19" spans="1:14">
      <c r="C19" s="24"/>
      <c r="D19" s="24"/>
      <c r="E19" s="24"/>
      <c r="F19" s="24"/>
      <c r="G19" s="110"/>
      <c r="H19" s="29"/>
      <c r="I19" s="11"/>
      <c r="J19" s="11"/>
      <c r="K19" s="11"/>
      <c r="L19" s="11"/>
    </row>
    <row r="20" spans="1:14">
      <c r="A20" s="4" t="s">
        <v>330</v>
      </c>
      <c r="B20" s="4"/>
      <c r="C20" s="77">
        <f>C11+C18</f>
        <v>9891300</v>
      </c>
      <c r="D20" s="77">
        <f t="shared" ref="D20:H20" si="9">D11+D18</f>
        <v>9852900</v>
      </c>
      <c r="E20" s="77">
        <f t="shared" si="9"/>
        <v>9814500</v>
      </c>
      <c r="F20" s="77">
        <f t="shared" si="9"/>
        <v>9747900</v>
      </c>
      <c r="G20" s="77">
        <f t="shared" si="9"/>
        <v>9730500</v>
      </c>
      <c r="H20" s="77">
        <f t="shared" si="9"/>
        <v>49037100</v>
      </c>
      <c r="I20" s="11"/>
      <c r="J20" s="11"/>
      <c r="K20" s="11"/>
      <c r="L20" s="11"/>
    </row>
    <row r="21" spans="1:14">
      <c r="C21" s="11"/>
      <c r="D21" s="11"/>
      <c r="E21" s="11"/>
      <c r="F21" s="11"/>
      <c r="G21" s="11"/>
      <c r="H21" s="8"/>
      <c r="I21" s="11"/>
      <c r="J21" s="11"/>
      <c r="K21" s="11"/>
    </row>
    <row r="22" spans="1:14">
      <c r="A22" s="4" t="s">
        <v>338</v>
      </c>
      <c r="B22" s="4"/>
      <c r="C22" s="24">
        <f t="shared" ref="C22:H22" si="10">C5-C20</f>
        <v>908700</v>
      </c>
      <c r="D22" s="24">
        <f t="shared" si="10"/>
        <v>947100</v>
      </c>
      <c r="E22" s="24">
        <f t="shared" si="10"/>
        <v>985500</v>
      </c>
      <c r="F22" s="24">
        <f t="shared" si="10"/>
        <v>1052100</v>
      </c>
      <c r="G22" s="24">
        <f t="shared" si="10"/>
        <v>1069500</v>
      </c>
      <c r="H22" s="24">
        <f t="shared" si="10"/>
        <v>4962900</v>
      </c>
      <c r="I22" s="24"/>
      <c r="J22" s="24"/>
      <c r="K22" s="24"/>
      <c r="L22" s="24"/>
      <c r="M22" s="25"/>
      <c r="N22" s="25"/>
    </row>
    <row r="23" spans="1:14">
      <c r="A23" t="s">
        <v>39</v>
      </c>
      <c r="C23" s="11">
        <f>C22*0.3</f>
        <v>272610</v>
      </c>
      <c r="D23" s="11">
        <f t="shared" ref="D23:H23" si="11">D22*0.3</f>
        <v>284130</v>
      </c>
      <c r="E23" s="11">
        <f t="shared" si="11"/>
        <v>295650</v>
      </c>
      <c r="F23" s="11">
        <f t="shared" si="11"/>
        <v>315630</v>
      </c>
      <c r="G23" s="11">
        <f t="shared" si="11"/>
        <v>320850</v>
      </c>
      <c r="H23" s="11">
        <f t="shared" si="11"/>
        <v>1488870</v>
      </c>
      <c r="I23" s="11"/>
      <c r="J23" s="11"/>
      <c r="K23" s="11"/>
      <c r="M23" s="11"/>
    </row>
    <row r="24" spans="1:14" ht="15" thickBot="1">
      <c r="A24" s="4" t="s">
        <v>208</v>
      </c>
      <c r="C24" s="78">
        <f>C22-C23</f>
        <v>636090</v>
      </c>
      <c r="D24" s="78">
        <f t="shared" ref="D24:H24" si="12">D22-D23</f>
        <v>662970</v>
      </c>
      <c r="E24" s="78">
        <f t="shared" si="12"/>
        <v>689850</v>
      </c>
      <c r="F24" s="78">
        <f t="shared" si="12"/>
        <v>736470</v>
      </c>
      <c r="G24" s="78">
        <f t="shared" si="12"/>
        <v>748650</v>
      </c>
      <c r="H24" s="78">
        <f t="shared" si="12"/>
        <v>3474030</v>
      </c>
      <c r="I24" s="11"/>
      <c r="J24" s="11"/>
      <c r="K24" s="11"/>
    </row>
    <row r="25" spans="1:14" ht="15" thickTop="1">
      <c r="A25" t="s">
        <v>123</v>
      </c>
      <c r="C25" s="11"/>
      <c r="D25" s="11"/>
      <c r="E25" s="11"/>
      <c r="F25" s="11"/>
      <c r="G25" s="11"/>
      <c r="H25" s="8"/>
      <c r="I25" s="11"/>
      <c r="J25" s="11"/>
      <c r="K25" s="11"/>
      <c r="L25" s="11"/>
    </row>
    <row r="26" spans="1:14">
      <c r="C26" s="11"/>
      <c r="D26" s="11"/>
      <c r="E26" s="11"/>
      <c r="F26" s="11"/>
      <c r="G26" s="11"/>
      <c r="H26" s="8"/>
      <c r="I26" s="11"/>
      <c r="J26" s="11"/>
      <c r="K26" s="11"/>
      <c r="L26" s="11"/>
    </row>
    <row r="27" spans="1:14">
      <c r="A27" t="s">
        <v>78</v>
      </c>
      <c r="B27" s="1"/>
      <c r="C27" s="8">
        <f>'BS 2006-07'!G23+'BS 2006-07'!G24</f>
        <v>7071000</v>
      </c>
      <c r="D27" s="8">
        <f>C28</f>
        <v>7707090</v>
      </c>
      <c r="E27" s="8">
        <f>D28</f>
        <v>8370060</v>
      </c>
      <c r="F27" s="8">
        <f>E28</f>
        <v>9059910</v>
      </c>
      <c r="G27" s="8">
        <f>F28</f>
        <v>9796380</v>
      </c>
      <c r="H27" s="8">
        <f>C27</f>
        <v>7071000</v>
      </c>
      <c r="I27" s="11"/>
      <c r="J27" s="11"/>
      <c r="K27" s="11"/>
      <c r="L27" s="11"/>
    </row>
    <row r="28" spans="1:14" ht="15" thickBot="1">
      <c r="A28" t="s">
        <v>79</v>
      </c>
      <c r="C28" s="80">
        <f>C27+C24</f>
        <v>7707090</v>
      </c>
      <c r="D28" s="80">
        <f t="shared" ref="D28:H28" si="13">D27+D24</f>
        <v>8370060</v>
      </c>
      <c r="E28" s="80">
        <f t="shared" si="13"/>
        <v>9059910</v>
      </c>
      <c r="F28" s="80">
        <f t="shared" si="13"/>
        <v>9796380</v>
      </c>
      <c r="G28" s="80">
        <f t="shared" si="13"/>
        <v>10545030</v>
      </c>
      <c r="H28" s="80">
        <f t="shared" si="13"/>
        <v>10545030</v>
      </c>
      <c r="I28" s="11"/>
      <c r="J28" s="11"/>
      <c r="K28" s="11"/>
      <c r="L28" s="11"/>
    </row>
    <row r="29" spans="1:14" ht="15" thickTop="1">
      <c r="C29" s="11"/>
      <c r="D29" s="11"/>
      <c r="E29" s="11"/>
      <c r="F29" s="11"/>
      <c r="G29" s="11"/>
      <c r="H29" s="8"/>
      <c r="I29" s="11"/>
      <c r="J29" s="11"/>
      <c r="K29" s="11"/>
      <c r="L29" s="11"/>
    </row>
    <row r="30" spans="1:14">
      <c r="C30" s="11"/>
      <c r="D30" s="11"/>
      <c r="E30" s="11"/>
      <c r="F30" s="11"/>
      <c r="G30" s="11"/>
      <c r="H30" s="8"/>
      <c r="I30" s="11"/>
      <c r="J30" s="11"/>
      <c r="K30" s="11"/>
      <c r="L30" s="11"/>
    </row>
    <row r="31" spans="1:14">
      <c r="C31" s="11"/>
      <c r="D31" s="11"/>
      <c r="E31" s="11"/>
      <c r="F31" s="11"/>
      <c r="G31" s="11"/>
      <c r="H31" s="8"/>
      <c r="I31" s="11"/>
      <c r="J31" s="11"/>
      <c r="K31" s="11"/>
      <c r="L31" s="11"/>
    </row>
    <row r="32" spans="1:14">
      <c r="C32" s="11"/>
      <c r="D32" s="11"/>
      <c r="E32" s="11"/>
      <c r="F32" s="11"/>
      <c r="G32" s="11"/>
      <c r="H32" s="8"/>
      <c r="I32" s="11"/>
      <c r="J32" s="11"/>
      <c r="K32" s="11"/>
      <c r="L32" s="11"/>
    </row>
    <row r="33" spans="1:12">
      <c r="A33" s="4"/>
      <c r="C33" s="11"/>
      <c r="D33" s="11"/>
      <c r="E33" s="11"/>
      <c r="F33" s="11"/>
      <c r="G33" s="11"/>
      <c r="H33" s="8"/>
      <c r="I33" s="11"/>
      <c r="J33" s="11"/>
      <c r="K33" s="11"/>
      <c r="L33" s="11"/>
    </row>
    <row r="34" spans="1:12">
      <c r="A34" s="51" t="s">
        <v>86</v>
      </c>
      <c r="C34" s="23"/>
      <c r="H34" s="1"/>
    </row>
    <row r="35" spans="1:12">
      <c r="A35" t="s">
        <v>80</v>
      </c>
      <c r="C35" s="83">
        <f>C24/(0.5*(B27+C27))</f>
        <v>0.17991514637250741</v>
      </c>
      <c r="D35" s="83">
        <f t="shared" ref="D35:G35" si="14">D24/(0.5*(C27+D27))</f>
        <v>8.9723367498776907E-2</v>
      </c>
      <c r="E35" s="83">
        <f t="shared" si="14"/>
        <v>8.5817448988160211E-2</v>
      </c>
      <c r="F35" s="83">
        <f t="shared" si="14"/>
        <v>8.4506169545902829E-2</v>
      </c>
      <c r="G35" s="83">
        <f t="shared" si="14"/>
        <v>7.9405864037941712E-2</v>
      </c>
      <c r="H35" s="88"/>
    </row>
    <row r="36" spans="1:12">
      <c r="A36" t="s">
        <v>228</v>
      </c>
      <c r="C36" s="84">
        <f>C5</f>
        <v>10800000</v>
      </c>
      <c r="D36" s="84">
        <f>D5</f>
        <v>10800000</v>
      </c>
      <c r="E36" s="84">
        <f>E5</f>
        <v>10800000</v>
      </c>
      <c r="F36" s="84">
        <f>F5</f>
        <v>10800000</v>
      </c>
      <c r="G36" s="84">
        <f>G5</f>
        <v>10800000</v>
      </c>
      <c r="H36" s="1"/>
    </row>
    <row r="37" spans="1:12">
      <c r="A37" t="s">
        <v>229</v>
      </c>
      <c r="C37" s="13">
        <f>C4</f>
        <v>450000</v>
      </c>
      <c r="D37" s="13">
        <f>D4</f>
        <v>450000</v>
      </c>
      <c r="E37" s="13">
        <f>E4</f>
        <v>450000</v>
      </c>
      <c r="F37" s="13">
        <f>F4</f>
        <v>450000</v>
      </c>
      <c r="G37" s="13">
        <f>G4</f>
        <v>450000</v>
      </c>
      <c r="H37" s="1"/>
    </row>
    <row r="38" spans="1:12">
      <c r="A38" t="s">
        <v>230</v>
      </c>
      <c r="C38" s="13">
        <f>C20/C3</f>
        <v>412137.5</v>
      </c>
      <c r="D38" s="13">
        <f>D20/D3</f>
        <v>410537.5</v>
      </c>
      <c r="E38" s="13">
        <f>E20/E3</f>
        <v>408937.5</v>
      </c>
      <c r="F38" s="13">
        <f>F20/F3</f>
        <v>406162.5</v>
      </c>
      <c r="G38" s="13">
        <f>G20/G3</f>
        <v>405437.5</v>
      </c>
      <c r="H38" s="1"/>
    </row>
    <row r="39" spans="1:12">
      <c r="A39" t="s">
        <v>232</v>
      </c>
      <c r="C39" s="13">
        <f>C11/C3</f>
        <v>295500</v>
      </c>
      <c r="D39" s="13">
        <f t="shared" ref="D39:G39" si="15">D11/D3</f>
        <v>295500</v>
      </c>
      <c r="E39" s="13">
        <f t="shared" si="15"/>
        <v>295500</v>
      </c>
      <c r="F39" s="13">
        <f t="shared" si="15"/>
        <v>295500</v>
      </c>
      <c r="G39" s="13">
        <f t="shared" si="15"/>
        <v>295500</v>
      </c>
      <c r="H39" s="1"/>
    </row>
    <row r="40" spans="1:12">
      <c r="A40" t="s">
        <v>231</v>
      </c>
      <c r="C40" s="13">
        <f>C18/C3</f>
        <v>116637.5</v>
      </c>
      <c r="D40" s="13">
        <f>D18/D3</f>
        <v>115037.5</v>
      </c>
      <c r="E40" s="13">
        <f t="shared" ref="E40:G40" si="16">E18/E3</f>
        <v>113437.5</v>
      </c>
      <c r="F40" s="13">
        <f t="shared" si="16"/>
        <v>110662.5</v>
      </c>
      <c r="G40" s="13">
        <f t="shared" si="16"/>
        <v>109937.5</v>
      </c>
      <c r="H40" s="13"/>
      <c r="I40" s="13"/>
    </row>
    <row r="41" spans="1:12">
      <c r="A41" s="14" t="s">
        <v>84</v>
      </c>
      <c r="C41" s="87">
        <f>(C37-C38)/C38</f>
        <v>9.1868611810378822E-2</v>
      </c>
      <c r="D41" s="87">
        <f t="shared" ref="D41:G41" si="17">(D37-D38)/D38</f>
        <v>9.6123983801723351E-2</v>
      </c>
      <c r="E41" s="87">
        <f t="shared" si="17"/>
        <v>0.10041265474552957</v>
      </c>
      <c r="F41" s="87">
        <f t="shared" si="17"/>
        <v>0.10793093897147078</v>
      </c>
      <c r="G41" s="87">
        <f t="shared" si="17"/>
        <v>0.10991213195622013</v>
      </c>
    </row>
    <row r="42" spans="1:12">
      <c r="A42" t="s">
        <v>234</v>
      </c>
      <c r="C42" s="87">
        <f>(C37-C39)/C39</f>
        <v>0.52284263959390864</v>
      </c>
      <c r="D42" s="87">
        <f t="shared" ref="D42:G42" si="18">(D37-D39)/D39</f>
        <v>0.52284263959390864</v>
      </c>
      <c r="E42" s="87">
        <f t="shared" si="18"/>
        <v>0.52284263959390864</v>
      </c>
      <c r="F42" s="87">
        <f t="shared" si="18"/>
        <v>0.52284263959390864</v>
      </c>
      <c r="G42" s="87">
        <f t="shared" si="18"/>
        <v>0.52284263959390864</v>
      </c>
    </row>
    <row r="43" spans="1:12">
      <c r="A43" s="34" t="s">
        <v>235</v>
      </c>
      <c r="C43">
        <v>24</v>
      </c>
      <c r="D43">
        <v>24</v>
      </c>
      <c r="E43">
        <v>24</v>
      </c>
      <c r="F43">
        <v>24</v>
      </c>
      <c r="G43">
        <v>24</v>
      </c>
    </row>
    <row r="44" spans="1:12">
      <c r="A44" s="34" t="s">
        <v>236</v>
      </c>
      <c r="C44" s="13">
        <f>C7/C3</f>
        <v>192000</v>
      </c>
      <c r="D44" s="13">
        <f>D7/D3</f>
        <v>192000</v>
      </c>
      <c r="E44" s="13">
        <f>E7/E3</f>
        <v>192000</v>
      </c>
      <c r="F44" s="13">
        <f>F7/F3</f>
        <v>192000</v>
      </c>
      <c r="G44" s="13">
        <f>G7/G3</f>
        <v>192000</v>
      </c>
    </row>
    <row r="45" spans="1:12">
      <c r="A45" s="34" t="s">
        <v>237</v>
      </c>
      <c r="C45" s="1">
        <f>(('Unit cost and price'!D9/1000)+'5 Yr IS Projections'!C10+'5 Yr IS Projections'!C9)/C3</f>
        <v>43586.805555555555</v>
      </c>
      <c r="D45" s="1">
        <f>(('Unit cost and price'!E9/1000)+'5 Yr IS Projections'!D10+'5 Yr IS Projections'!D9)/D3</f>
        <v>43500</v>
      </c>
      <c r="E45" s="1">
        <f>(('Unit cost and price'!F9/1000)+'5 Yr IS Projections'!E10+'5 Yr IS Projections'!E9)/E3</f>
        <v>43500</v>
      </c>
      <c r="F45" s="1">
        <f>(('Unit cost and price'!G9/1000)+'5 Yr IS Projections'!F10+'5 Yr IS Projections'!F9)/F3</f>
        <v>43500</v>
      </c>
      <c r="G45" s="1">
        <f>(('Unit cost and price'!H9/1000)+'5 Yr IS Projections'!G10+'5 Yr IS Projections'!G9)/G3</f>
        <v>43500</v>
      </c>
    </row>
    <row r="46" spans="1:12">
      <c r="A46" s="34" t="s">
        <v>238</v>
      </c>
      <c r="C46" s="13">
        <f>C8/C3</f>
        <v>60000</v>
      </c>
      <c r="D46" s="13">
        <f>D8/D3</f>
        <v>60000</v>
      </c>
      <c r="E46" s="13">
        <f>E8/E3</f>
        <v>60000</v>
      </c>
      <c r="F46" s="13">
        <f>F8/F3</f>
        <v>60000</v>
      </c>
      <c r="G46" s="13">
        <f>G8/G3</f>
        <v>60000</v>
      </c>
    </row>
    <row r="47" spans="1:12">
      <c r="A47" s="34" t="s">
        <v>239</v>
      </c>
      <c r="C47">
        <f>C36/C46</f>
        <v>180</v>
      </c>
      <c r="D47">
        <f t="shared" ref="D47:G47" si="19">D36/D46</f>
        <v>180</v>
      </c>
      <c r="E47">
        <f t="shared" si="19"/>
        <v>180</v>
      </c>
      <c r="F47">
        <f t="shared" si="19"/>
        <v>180</v>
      </c>
      <c r="G47">
        <f t="shared" si="19"/>
        <v>180</v>
      </c>
    </row>
    <row r="51" spans="7:7">
      <c r="G51" s="21">
        <f>B27/750000</f>
        <v>0</v>
      </c>
    </row>
  </sheetData>
  <mergeCells count="1">
    <mergeCell ref="C1:H1"/>
  </mergeCells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N52"/>
  <sheetViews>
    <sheetView topLeftCell="A3" workbookViewId="0">
      <selection activeCell="I19" sqref="I19"/>
    </sheetView>
  </sheetViews>
  <sheetFormatPr baseColWidth="10" defaultColWidth="8.83203125" defaultRowHeight="14"/>
  <cols>
    <col min="1" max="1" width="38" customWidth="1"/>
    <col min="2" max="2" width="40.6640625" customWidth="1"/>
    <col min="3" max="3" width="15.6640625" customWidth="1"/>
    <col min="4" max="4" width="12" customWidth="1"/>
    <col min="5" max="5" width="11.5" customWidth="1"/>
    <col min="6" max="6" width="12.5" customWidth="1"/>
    <col min="7" max="7" width="12" customWidth="1"/>
    <col min="8" max="8" width="12.5" customWidth="1"/>
    <col min="9" max="9" width="11.83203125" customWidth="1"/>
    <col min="10" max="10" width="12.5" customWidth="1"/>
    <col min="11" max="11" width="12.1640625" customWidth="1"/>
    <col min="12" max="12" width="12" customWidth="1"/>
    <col min="13" max="13" width="12.1640625" customWidth="1"/>
  </cols>
  <sheetData>
    <row r="1" spans="1:13" ht="18">
      <c r="C1" s="126" t="s">
        <v>85</v>
      </c>
      <c r="D1" s="126"/>
      <c r="E1" s="126"/>
      <c r="F1" s="126"/>
      <c r="G1" s="126"/>
      <c r="H1" s="126"/>
      <c r="I1" s="11"/>
      <c r="J1" s="11"/>
      <c r="K1" s="11"/>
    </row>
    <row r="2" spans="1:13" s="45" customFormat="1">
      <c r="A2" s="45" t="s">
        <v>264</v>
      </c>
      <c r="C2" s="45">
        <v>1</v>
      </c>
      <c r="D2" s="45">
        <v>2</v>
      </c>
      <c r="E2" s="45">
        <v>3</v>
      </c>
      <c r="F2" s="45">
        <v>4</v>
      </c>
      <c r="G2" s="45">
        <v>5</v>
      </c>
      <c r="H2" s="45" t="s">
        <v>196</v>
      </c>
      <c r="I2" s="76"/>
      <c r="J2" s="76"/>
      <c r="K2" s="76"/>
      <c r="L2" s="76"/>
    </row>
    <row r="3" spans="1:13">
      <c r="A3" t="s">
        <v>108</v>
      </c>
      <c r="C3" s="81">
        <v>24</v>
      </c>
      <c r="D3" s="81">
        <v>24</v>
      </c>
      <c r="E3" s="81">
        <v>24</v>
      </c>
      <c r="F3" s="81">
        <v>24</v>
      </c>
      <c r="G3" s="81">
        <v>24</v>
      </c>
      <c r="H3" s="82">
        <f>SUM(B3:G3)</f>
        <v>120</v>
      </c>
      <c r="I3" s="11"/>
      <c r="J3" s="11"/>
      <c r="K3" s="11"/>
      <c r="L3" s="11"/>
      <c r="M3" s="11"/>
    </row>
    <row r="4" spans="1:13">
      <c r="A4" t="s">
        <v>109</v>
      </c>
      <c r="B4" s="17">
        <f>450000*108.45%</f>
        <v>488025</v>
      </c>
      <c r="C4" s="11">
        <f>B4</f>
        <v>488025</v>
      </c>
      <c r="D4" s="11">
        <f>C4</f>
        <v>488025</v>
      </c>
      <c r="E4" s="11">
        <f>D4</f>
        <v>488025</v>
      </c>
      <c r="F4" s="11">
        <f>E4</f>
        <v>488025</v>
      </c>
      <c r="G4" s="11">
        <f>F4</f>
        <v>488025</v>
      </c>
      <c r="H4" s="1">
        <f t="shared" ref="H4:H5" si="0">SUM(B4:G4)</f>
        <v>2928150</v>
      </c>
      <c r="I4" s="11"/>
      <c r="J4" s="11"/>
      <c r="K4" s="11"/>
      <c r="L4" s="11"/>
      <c r="M4" s="11"/>
    </row>
    <row r="5" spans="1:13">
      <c r="A5" t="s">
        <v>211</v>
      </c>
      <c r="C5" s="77">
        <f>C4*C3</f>
        <v>11712600</v>
      </c>
      <c r="D5" s="77">
        <f t="shared" ref="D5:G5" si="1">D4*D3</f>
        <v>11712600</v>
      </c>
      <c r="E5" s="77">
        <f t="shared" si="1"/>
        <v>11712600</v>
      </c>
      <c r="F5" s="77">
        <f t="shared" si="1"/>
        <v>11712600</v>
      </c>
      <c r="G5" s="77">
        <f t="shared" si="1"/>
        <v>11712600</v>
      </c>
      <c r="H5" s="66">
        <f t="shared" si="0"/>
        <v>58563000</v>
      </c>
      <c r="I5" s="11"/>
      <c r="J5" s="11"/>
      <c r="K5" s="11"/>
      <c r="L5" s="11"/>
      <c r="M5" s="11"/>
    </row>
    <row r="6" spans="1:13">
      <c r="A6" s="51" t="s">
        <v>110</v>
      </c>
      <c r="C6" s="11"/>
      <c r="D6" s="11"/>
      <c r="E6" s="11"/>
      <c r="F6" s="11"/>
      <c r="G6" s="11"/>
      <c r="H6" s="8"/>
      <c r="I6" s="11"/>
      <c r="J6" s="11"/>
      <c r="K6" s="11"/>
    </row>
    <row r="7" spans="1:13">
      <c r="A7" t="s">
        <v>99</v>
      </c>
      <c r="B7" t="s">
        <v>172</v>
      </c>
      <c r="C7" s="24">
        <f>8000*24*20*1.2</f>
        <v>4608000</v>
      </c>
      <c r="D7" s="24">
        <f t="shared" ref="D7:G16" si="2">C7</f>
        <v>4608000</v>
      </c>
      <c r="E7" s="24">
        <f t="shared" si="2"/>
        <v>4608000</v>
      </c>
      <c r="F7" s="24">
        <f t="shared" si="2"/>
        <v>4608000</v>
      </c>
      <c r="G7" s="24">
        <f t="shared" si="2"/>
        <v>4608000</v>
      </c>
      <c r="H7" s="29">
        <f t="shared" ref="H7:H16" si="3">SUM(B7:G7)</f>
        <v>23040000</v>
      </c>
      <c r="I7" s="24"/>
      <c r="J7" s="24"/>
      <c r="K7" s="24"/>
      <c r="L7" s="24"/>
      <c r="M7" s="24"/>
    </row>
    <row r="8" spans="1:13">
      <c r="A8" t="s">
        <v>292</v>
      </c>
      <c r="B8" t="s">
        <v>157</v>
      </c>
      <c r="C8" s="24">
        <f>60000*24</f>
        <v>1440000</v>
      </c>
      <c r="D8" s="24">
        <f t="shared" si="2"/>
        <v>1440000</v>
      </c>
      <c r="E8" s="11">
        <f t="shared" si="2"/>
        <v>1440000</v>
      </c>
      <c r="F8" s="11">
        <f t="shared" si="2"/>
        <v>1440000</v>
      </c>
      <c r="G8" s="11">
        <f t="shared" si="2"/>
        <v>1440000</v>
      </c>
      <c r="H8" s="1">
        <f t="shared" si="3"/>
        <v>7200000</v>
      </c>
      <c r="I8" s="11"/>
      <c r="J8" s="11"/>
      <c r="K8" s="11"/>
      <c r="L8" s="11"/>
    </row>
    <row r="9" spans="1:13">
      <c r="A9" t="s">
        <v>102</v>
      </c>
      <c r="B9" t="s">
        <v>158</v>
      </c>
      <c r="C9" s="28">
        <f>12000*24</f>
        <v>288000</v>
      </c>
      <c r="D9" s="11">
        <f t="shared" si="2"/>
        <v>288000</v>
      </c>
      <c r="E9" s="11">
        <f t="shared" si="2"/>
        <v>288000</v>
      </c>
      <c r="F9" s="11">
        <f t="shared" si="2"/>
        <v>288000</v>
      </c>
      <c r="G9" s="11">
        <f t="shared" si="2"/>
        <v>288000</v>
      </c>
      <c r="H9" s="1">
        <f t="shared" si="3"/>
        <v>1440000</v>
      </c>
      <c r="I9" s="11"/>
      <c r="J9" s="11"/>
      <c r="K9" s="11"/>
      <c r="L9" s="11"/>
    </row>
    <row r="10" spans="1:13">
      <c r="A10" t="s">
        <v>192</v>
      </c>
      <c r="B10" t="s">
        <v>156</v>
      </c>
      <c r="C10" s="24">
        <f>9*3500*24</f>
        <v>756000</v>
      </c>
      <c r="D10" s="11">
        <f t="shared" si="2"/>
        <v>756000</v>
      </c>
      <c r="E10" s="11">
        <f t="shared" si="2"/>
        <v>756000</v>
      </c>
      <c r="F10" s="11">
        <f>E10</f>
        <v>756000</v>
      </c>
      <c r="G10" s="11">
        <f t="shared" si="2"/>
        <v>756000</v>
      </c>
      <c r="H10" s="1">
        <f t="shared" si="3"/>
        <v>3780000</v>
      </c>
      <c r="I10" s="11"/>
      <c r="J10" s="11"/>
      <c r="K10" s="11"/>
      <c r="L10" s="11"/>
    </row>
    <row r="11" spans="1:13">
      <c r="A11" t="s">
        <v>82</v>
      </c>
      <c r="C11" s="85">
        <f>SUM(C7:C10)</f>
        <v>7092000</v>
      </c>
      <c r="D11" s="85">
        <f t="shared" ref="D11:H11" si="4">SUM(D7:D10)</f>
        <v>7092000</v>
      </c>
      <c r="E11" s="85">
        <f t="shared" si="4"/>
        <v>7092000</v>
      </c>
      <c r="F11" s="85">
        <f t="shared" si="4"/>
        <v>7092000</v>
      </c>
      <c r="G11" s="85">
        <f t="shared" si="4"/>
        <v>7092000</v>
      </c>
      <c r="H11" s="85">
        <f t="shared" si="4"/>
        <v>35460000</v>
      </c>
      <c r="I11" s="11"/>
      <c r="J11" s="11"/>
      <c r="K11" s="11"/>
      <c r="L11" s="11"/>
    </row>
    <row r="12" spans="1:13">
      <c r="A12" s="51" t="s">
        <v>81</v>
      </c>
      <c r="C12" s="86"/>
      <c r="D12" s="86"/>
      <c r="E12" s="86"/>
      <c r="F12" s="86"/>
      <c r="G12" s="86"/>
      <c r="H12" s="86"/>
      <c r="I12" s="11"/>
      <c r="J12" s="11"/>
      <c r="K12" s="11"/>
      <c r="L12" s="11"/>
    </row>
    <row r="13" spans="1:13">
      <c r="A13" t="s">
        <v>200</v>
      </c>
      <c r="B13" t="s">
        <v>164</v>
      </c>
      <c r="C13" s="28">
        <f>100000*24</f>
        <v>2400000</v>
      </c>
      <c r="D13" s="11">
        <f t="shared" si="2"/>
        <v>2400000</v>
      </c>
      <c r="E13" s="11">
        <f t="shared" si="2"/>
        <v>2400000</v>
      </c>
      <c r="F13" s="11">
        <f t="shared" si="2"/>
        <v>2400000</v>
      </c>
      <c r="G13" s="11">
        <f t="shared" si="2"/>
        <v>2400000</v>
      </c>
      <c r="H13" s="1">
        <f t="shared" si="3"/>
        <v>12000000</v>
      </c>
      <c r="I13" s="11"/>
      <c r="J13" s="11"/>
      <c r="K13" s="11"/>
      <c r="L13" s="11"/>
    </row>
    <row r="14" spans="1:13">
      <c r="A14" t="s">
        <v>117</v>
      </c>
      <c r="B14" t="s">
        <v>159</v>
      </c>
      <c r="C14" s="24">
        <f>15000*12</f>
        <v>180000</v>
      </c>
      <c r="D14" s="11">
        <f t="shared" si="2"/>
        <v>180000</v>
      </c>
      <c r="E14" s="11">
        <f t="shared" si="2"/>
        <v>180000</v>
      </c>
      <c r="F14" s="11">
        <f t="shared" si="2"/>
        <v>180000</v>
      </c>
      <c r="G14" s="11">
        <f t="shared" si="2"/>
        <v>180000</v>
      </c>
      <c r="H14" s="1">
        <f t="shared" si="3"/>
        <v>900000</v>
      </c>
      <c r="I14" s="11"/>
      <c r="J14" s="11"/>
      <c r="K14" s="11"/>
      <c r="L14" s="11"/>
    </row>
    <row r="15" spans="1:13">
      <c r="A15" t="s">
        <v>168</v>
      </c>
      <c r="B15" t="s">
        <v>170</v>
      </c>
      <c r="C15" s="24">
        <f>2437.5*24</f>
        <v>58500</v>
      </c>
      <c r="D15" s="11">
        <f t="shared" si="2"/>
        <v>58500</v>
      </c>
      <c r="E15" s="11">
        <f t="shared" si="2"/>
        <v>58500</v>
      </c>
      <c r="F15" s="11">
        <f t="shared" si="2"/>
        <v>58500</v>
      </c>
      <c r="G15" s="11">
        <f t="shared" si="2"/>
        <v>58500</v>
      </c>
      <c r="H15" s="1">
        <f t="shared" si="3"/>
        <v>292500</v>
      </c>
      <c r="I15" s="11"/>
      <c r="J15" s="11"/>
      <c r="K15" s="11"/>
      <c r="L15" s="11"/>
    </row>
    <row r="16" spans="1:13">
      <c r="A16" t="s">
        <v>169</v>
      </c>
      <c r="B16" t="s">
        <v>32</v>
      </c>
      <c r="C16" s="24">
        <f>1250*24</f>
        <v>30000</v>
      </c>
      <c r="D16" s="11">
        <f t="shared" si="2"/>
        <v>30000</v>
      </c>
      <c r="E16" s="11">
        <f t="shared" si="2"/>
        <v>30000</v>
      </c>
      <c r="F16" s="11"/>
      <c r="G16" s="11"/>
      <c r="H16" s="1">
        <f t="shared" si="3"/>
        <v>90000</v>
      </c>
      <c r="I16" s="11"/>
      <c r="J16" s="13"/>
      <c r="K16" s="11"/>
      <c r="L16" s="11"/>
    </row>
    <row r="17" spans="1:14">
      <c r="A17" t="s">
        <v>177</v>
      </c>
      <c r="C17" s="12">
        <f>Interest!G5</f>
        <v>130800</v>
      </c>
      <c r="D17" s="12">
        <f>Interest!G6</f>
        <v>92400</v>
      </c>
      <c r="E17" s="12">
        <f>Interest!G7</f>
        <v>54000</v>
      </c>
      <c r="F17" s="12">
        <f>Interest!G8</f>
        <v>17400</v>
      </c>
      <c r="G17">
        <v>0</v>
      </c>
      <c r="H17" s="26">
        <f>SUM(B17:F17)</f>
        <v>294600</v>
      </c>
      <c r="I17" s="11"/>
      <c r="J17" s="11"/>
      <c r="K17" s="11"/>
      <c r="L17" s="11"/>
    </row>
    <row r="18" spans="1:14">
      <c r="A18" t="s">
        <v>83</v>
      </c>
      <c r="C18" s="119">
        <f>SUM(C13:C17)</f>
        <v>2799300</v>
      </c>
      <c r="D18" s="119">
        <f t="shared" ref="D18:H18" si="5">SUM(D13:D17)</f>
        <v>2760900</v>
      </c>
      <c r="E18" s="119">
        <f t="shared" si="5"/>
        <v>2722500</v>
      </c>
      <c r="F18" s="119">
        <f t="shared" si="5"/>
        <v>2655900</v>
      </c>
      <c r="G18" s="119">
        <f t="shared" si="5"/>
        <v>2638500</v>
      </c>
      <c r="H18" s="119">
        <f t="shared" si="5"/>
        <v>13577100</v>
      </c>
      <c r="I18" s="11"/>
      <c r="J18" s="11"/>
      <c r="K18" s="11"/>
      <c r="L18" s="11"/>
    </row>
    <row r="19" spans="1:14">
      <c r="C19" s="24"/>
      <c r="D19" s="24"/>
      <c r="E19" s="24"/>
      <c r="F19" s="24"/>
      <c r="G19" s="110"/>
      <c r="H19" s="29"/>
      <c r="I19" s="11"/>
      <c r="J19" s="11"/>
      <c r="K19" s="11"/>
      <c r="L19" s="11"/>
    </row>
    <row r="20" spans="1:14">
      <c r="A20" s="4" t="s">
        <v>330</v>
      </c>
      <c r="B20" s="4"/>
      <c r="C20" s="77">
        <f>C11+C18</f>
        <v>9891300</v>
      </c>
      <c r="D20" s="77">
        <f t="shared" ref="D20:H20" si="6">D11+D18</f>
        <v>9852900</v>
      </c>
      <c r="E20" s="77">
        <f t="shared" si="6"/>
        <v>9814500</v>
      </c>
      <c r="F20" s="77">
        <f t="shared" si="6"/>
        <v>9747900</v>
      </c>
      <c r="G20" s="77">
        <f t="shared" si="6"/>
        <v>9730500</v>
      </c>
      <c r="H20" s="77">
        <f t="shared" si="6"/>
        <v>49037100</v>
      </c>
      <c r="I20" s="11"/>
      <c r="J20" s="11"/>
      <c r="K20" s="11"/>
      <c r="L20" s="11"/>
    </row>
    <row r="21" spans="1:14">
      <c r="C21" s="11"/>
      <c r="D21" s="11"/>
      <c r="E21" s="11"/>
      <c r="F21" s="11"/>
      <c r="G21" s="11"/>
      <c r="H21" s="8"/>
      <c r="I21" s="11"/>
      <c r="J21" s="11"/>
      <c r="K21" s="11"/>
    </row>
    <row r="22" spans="1:14">
      <c r="A22" s="4" t="s">
        <v>338</v>
      </c>
      <c r="B22" s="4"/>
      <c r="C22" s="24">
        <f t="shared" ref="C22:H22" si="7">C5-C20</f>
        <v>1821300</v>
      </c>
      <c r="D22" s="24">
        <f t="shared" si="7"/>
        <v>1859700</v>
      </c>
      <c r="E22" s="24">
        <f t="shared" si="7"/>
        <v>1898100</v>
      </c>
      <c r="F22" s="24">
        <f t="shared" si="7"/>
        <v>1964700</v>
      </c>
      <c r="G22" s="24">
        <f t="shared" si="7"/>
        <v>1982100</v>
      </c>
      <c r="H22" s="24">
        <f t="shared" si="7"/>
        <v>9525900</v>
      </c>
      <c r="I22" s="24"/>
      <c r="J22" s="24"/>
      <c r="K22" s="24"/>
      <c r="L22" s="24"/>
      <c r="M22" s="25"/>
      <c r="N22" s="25"/>
    </row>
    <row r="23" spans="1:14">
      <c r="A23" t="s">
        <v>39</v>
      </c>
      <c r="C23" s="11">
        <f>C22*0.3</f>
        <v>546390</v>
      </c>
      <c r="D23" s="11">
        <f t="shared" ref="D23:H23" si="8">D22*0.3</f>
        <v>557910</v>
      </c>
      <c r="E23" s="11">
        <f t="shared" si="8"/>
        <v>569430</v>
      </c>
      <c r="F23" s="11">
        <f t="shared" si="8"/>
        <v>589410</v>
      </c>
      <c r="G23" s="11">
        <f t="shared" si="8"/>
        <v>594630</v>
      </c>
      <c r="H23" s="11">
        <f t="shared" si="8"/>
        <v>2857770</v>
      </c>
      <c r="I23" s="11"/>
      <c r="J23" s="11"/>
      <c r="K23" s="11"/>
      <c r="M23" s="11"/>
    </row>
    <row r="24" spans="1:14" ht="15" thickBot="1">
      <c r="A24" s="4" t="s">
        <v>208</v>
      </c>
      <c r="C24" s="78">
        <f>C22-C23</f>
        <v>1274910</v>
      </c>
      <c r="D24" s="78">
        <f t="shared" ref="D24:H24" si="9">D22-D23</f>
        <v>1301790</v>
      </c>
      <c r="E24" s="78">
        <f t="shared" si="9"/>
        <v>1328670</v>
      </c>
      <c r="F24" s="78">
        <f t="shared" si="9"/>
        <v>1375290</v>
      </c>
      <c r="G24" s="78">
        <f t="shared" si="9"/>
        <v>1387470</v>
      </c>
      <c r="H24" s="78">
        <f t="shared" si="9"/>
        <v>6668130</v>
      </c>
      <c r="I24" s="11"/>
      <c r="J24" s="11"/>
      <c r="K24" s="11"/>
    </row>
    <row r="25" spans="1:14" ht="15" thickTop="1">
      <c r="A25" s="4"/>
      <c r="C25" s="97"/>
      <c r="D25" s="97"/>
      <c r="E25" s="97"/>
      <c r="F25" s="97"/>
      <c r="G25" s="97"/>
      <c r="H25" s="97"/>
      <c r="I25" s="11"/>
      <c r="J25" s="11"/>
      <c r="K25" s="11"/>
    </row>
    <row r="26" spans="1:14">
      <c r="A26" s="50" t="s">
        <v>123</v>
      </c>
      <c r="C26" s="11"/>
      <c r="D26" s="11"/>
      <c r="E26" s="11"/>
      <c r="F26" s="11"/>
      <c r="G26" s="11"/>
      <c r="H26" s="8"/>
      <c r="I26" s="11"/>
      <c r="J26" s="11"/>
      <c r="K26" s="11"/>
      <c r="L26" s="11"/>
    </row>
    <row r="27" spans="1:14">
      <c r="C27" s="11"/>
      <c r="D27" s="11"/>
      <c r="E27" s="11"/>
      <c r="F27" s="11"/>
      <c r="G27" s="11"/>
      <c r="H27" s="8"/>
      <c r="I27" s="11"/>
      <c r="J27" s="11"/>
      <c r="K27" s="11"/>
      <c r="L27" s="11"/>
    </row>
    <row r="28" spans="1:14">
      <c r="A28" t="s">
        <v>78</v>
      </c>
      <c r="B28" s="1"/>
      <c r="C28" s="8">
        <f>'BS 2006-07'!G23+'BS 2006-07'!G24</f>
        <v>7071000</v>
      </c>
      <c r="D28" s="8">
        <f>C29</f>
        <v>8345910</v>
      </c>
      <c r="E28" s="8">
        <f>D29</f>
        <v>9647700</v>
      </c>
      <c r="F28" s="8">
        <f>E29</f>
        <v>10976370</v>
      </c>
      <c r="G28" s="8">
        <f>F29</f>
        <v>12351660</v>
      </c>
      <c r="H28" s="8">
        <f>C28</f>
        <v>7071000</v>
      </c>
      <c r="I28" s="11"/>
      <c r="J28" s="11"/>
      <c r="K28" s="11"/>
      <c r="L28" s="11"/>
    </row>
    <row r="29" spans="1:14" ht="15" thickBot="1">
      <c r="A29" t="s">
        <v>79</v>
      </c>
      <c r="C29" s="80">
        <f>C28+C24</f>
        <v>8345910</v>
      </c>
      <c r="D29" s="80">
        <f t="shared" ref="D29:H29" si="10">D28+D24</f>
        <v>9647700</v>
      </c>
      <c r="E29" s="80">
        <f t="shared" si="10"/>
        <v>10976370</v>
      </c>
      <c r="F29" s="80">
        <f t="shared" si="10"/>
        <v>12351660</v>
      </c>
      <c r="G29" s="80">
        <f t="shared" si="10"/>
        <v>13739130</v>
      </c>
      <c r="H29" s="80">
        <f t="shared" si="10"/>
        <v>13739130</v>
      </c>
      <c r="I29" s="11"/>
      <c r="J29" s="11"/>
      <c r="K29" s="11"/>
      <c r="L29" s="11"/>
    </row>
    <row r="30" spans="1:14" ht="15" thickTop="1">
      <c r="C30" s="11"/>
      <c r="D30" s="11"/>
      <c r="E30" s="11"/>
      <c r="F30" s="11"/>
      <c r="G30" s="11"/>
      <c r="H30" s="8"/>
      <c r="I30" s="11"/>
      <c r="J30" s="11"/>
      <c r="K30" s="11"/>
      <c r="L30" s="11"/>
    </row>
    <row r="31" spans="1:14">
      <c r="C31" s="11"/>
      <c r="D31" s="11"/>
      <c r="E31" s="11"/>
      <c r="F31" s="11"/>
      <c r="G31" s="11"/>
      <c r="H31" s="8"/>
      <c r="I31" s="11"/>
      <c r="J31" s="11"/>
      <c r="K31" s="11"/>
      <c r="L31" s="11"/>
    </row>
    <row r="32" spans="1:14">
      <c r="C32" s="11"/>
      <c r="D32" s="11"/>
      <c r="E32" s="11"/>
      <c r="F32" s="11"/>
      <c r="G32" s="11"/>
      <c r="H32" s="8"/>
      <c r="I32" s="11"/>
      <c r="J32" s="11"/>
      <c r="K32" s="11"/>
      <c r="L32" s="11"/>
    </row>
    <row r="33" spans="1:12">
      <c r="C33" s="11"/>
      <c r="D33" s="11"/>
      <c r="E33" s="11"/>
      <c r="F33" s="11"/>
      <c r="G33" s="11"/>
      <c r="H33" s="8"/>
      <c r="I33" s="11"/>
      <c r="J33" s="11"/>
      <c r="K33" s="11"/>
      <c r="L33" s="11"/>
    </row>
    <row r="34" spans="1:12">
      <c r="A34" s="4"/>
      <c r="C34" s="11"/>
      <c r="D34" s="11"/>
      <c r="E34" s="11"/>
      <c r="F34" s="11"/>
      <c r="G34" s="11"/>
      <c r="H34" s="8"/>
      <c r="I34" s="11"/>
      <c r="J34" s="11"/>
      <c r="K34" s="11"/>
      <c r="L34" s="11"/>
    </row>
    <row r="35" spans="1:12">
      <c r="A35" s="51" t="s">
        <v>86</v>
      </c>
      <c r="C35" s="43"/>
      <c r="H35" s="1"/>
    </row>
    <row r="36" spans="1:12">
      <c r="A36" t="s">
        <v>80</v>
      </c>
      <c r="C36" s="83">
        <f>C24/(0.5*(B28+C28))</f>
        <v>0.36060246075519731</v>
      </c>
      <c r="D36" s="83">
        <f t="shared" ref="D36:G36" si="11">D24/(0.5*(C28+D28))</f>
        <v>0.16887819932788087</v>
      </c>
      <c r="E36" s="83">
        <f t="shared" si="11"/>
        <v>0.14768242726167791</v>
      </c>
      <c r="F36" s="83">
        <f t="shared" si="11"/>
        <v>0.13336746820583911</v>
      </c>
      <c r="G36" s="83">
        <f t="shared" si="11"/>
        <v>0.11895303632582777</v>
      </c>
      <c r="H36" s="88"/>
    </row>
    <row r="37" spans="1:12">
      <c r="A37" t="s">
        <v>228</v>
      </c>
      <c r="C37" s="84">
        <f>C5</f>
        <v>11712600</v>
      </c>
      <c r="D37" s="84">
        <f>D5</f>
        <v>11712600</v>
      </c>
      <c r="E37" s="84">
        <f>E5</f>
        <v>11712600</v>
      </c>
      <c r="F37" s="84">
        <f>F5</f>
        <v>11712600</v>
      </c>
      <c r="G37" s="84">
        <f>G5</f>
        <v>11712600</v>
      </c>
      <c r="H37" s="1"/>
    </row>
    <row r="38" spans="1:12">
      <c r="A38" t="s">
        <v>229</v>
      </c>
      <c r="C38" s="13">
        <f>C4</f>
        <v>488025</v>
      </c>
      <c r="D38" s="13">
        <f>D4</f>
        <v>488025</v>
      </c>
      <c r="E38" s="13">
        <f>E4</f>
        <v>488025</v>
      </c>
      <c r="F38" s="13">
        <f>F4</f>
        <v>488025</v>
      </c>
      <c r="G38" s="13">
        <f>G4</f>
        <v>488025</v>
      </c>
      <c r="H38" s="1"/>
    </row>
    <row r="39" spans="1:12">
      <c r="A39" t="s">
        <v>230</v>
      </c>
      <c r="C39" s="13">
        <f>C20/C3</f>
        <v>412137.5</v>
      </c>
      <c r="D39" s="13">
        <f>D20/D3</f>
        <v>410537.5</v>
      </c>
      <c r="E39" s="13">
        <f>E20/E3</f>
        <v>408937.5</v>
      </c>
      <c r="F39" s="13">
        <f>F20/F3</f>
        <v>406162.5</v>
      </c>
      <c r="G39" s="13">
        <f>G20/G3</f>
        <v>405437.5</v>
      </c>
      <c r="H39" s="1"/>
    </row>
    <row r="40" spans="1:12">
      <c r="A40" t="s">
        <v>232</v>
      </c>
      <c r="C40" s="13">
        <f>C11/C3</f>
        <v>295500</v>
      </c>
      <c r="D40" s="13">
        <f t="shared" ref="D40:G40" si="12">D11/D3</f>
        <v>295500</v>
      </c>
      <c r="E40" s="13">
        <f t="shared" si="12"/>
        <v>295500</v>
      </c>
      <c r="F40" s="13">
        <f t="shared" si="12"/>
        <v>295500</v>
      </c>
      <c r="G40" s="13">
        <f t="shared" si="12"/>
        <v>295500</v>
      </c>
      <c r="H40" s="1"/>
    </row>
    <row r="41" spans="1:12">
      <c r="A41" t="s">
        <v>231</v>
      </c>
      <c r="C41" s="13">
        <f>C18/C3</f>
        <v>116637.5</v>
      </c>
      <c r="D41" s="13">
        <f>D18/D3</f>
        <v>115037.5</v>
      </c>
      <c r="E41" s="13">
        <f t="shared" ref="E41:G41" si="13">E18/E3</f>
        <v>113437.5</v>
      </c>
      <c r="F41" s="13">
        <f t="shared" si="13"/>
        <v>110662.5</v>
      </c>
      <c r="G41" s="13">
        <f t="shared" si="13"/>
        <v>109937.5</v>
      </c>
      <c r="H41" s="13"/>
      <c r="I41" s="13"/>
    </row>
    <row r="42" spans="1:12">
      <c r="A42" s="14" t="s">
        <v>84</v>
      </c>
      <c r="C42" s="87">
        <f>(C38-C39)/C39</f>
        <v>0.18413150950835583</v>
      </c>
      <c r="D42" s="87">
        <f t="shared" ref="D42:G42" si="14">(D38-D39)/D39</f>
        <v>0.18874646043296897</v>
      </c>
      <c r="E42" s="87">
        <f t="shared" si="14"/>
        <v>0.19339752407152683</v>
      </c>
      <c r="F42" s="87">
        <f t="shared" si="14"/>
        <v>0.20155110331456005</v>
      </c>
      <c r="G42" s="87">
        <f t="shared" si="14"/>
        <v>0.20369970710652074</v>
      </c>
    </row>
    <row r="43" spans="1:12">
      <c r="A43" t="s">
        <v>234</v>
      </c>
      <c r="C43" s="87">
        <f>(C38-C40)/C40</f>
        <v>0.65152284263959392</v>
      </c>
      <c r="D43" s="87">
        <f t="shared" ref="D43:G43" si="15">(D38-D40)/D40</f>
        <v>0.65152284263959392</v>
      </c>
      <c r="E43" s="87">
        <f t="shared" si="15"/>
        <v>0.65152284263959392</v>
      </c>
      <c r="F43" s="87">
        <f t="shared" si="15"/>
        <v>0.65152284263959392</v>
      </c>
      <c r="G43" s="87">
        <f t="shared" si="15"/>
        <v>0.65152284263959392</v>
      </c>
    </row>
    <row r="44" spans="1:12">
      <c r="A44" s="34" t="s">
        <v>235</v>
      </c>
      <c r="C44">
        <v>24</v>
      </c>
      <c r="D44">
        <v>24</v>
      </c>
      <c r="E44">
        <v>24</v>
      </c>
      <c r="F44">
        <v>24</v>
      </c>
      <c r="G44">
        <v>24</v>
      </c>
    </row>
    <row r="45" spans="1:12">
      <c r="A45" s="34" t="s">
        <v>236</v>
      </c>
      <c r="C45" s="13">
        <f>C7/C3</f>
        <v>192000</v>
      </c>
      <c r="D45" s="13">
        <f>D7/D3</f>
        <v>192000</v>
      </c>
      <c r="E45" s="13">
        <f>E7/E3</f>
        <v>192000</v>
      </c>
      <c r="F45" s="13">
        <f>F7/F3</f>
        <v>192000</v>
      </c>
      <c r="G45" s="13">
        <f>G7/G3</f>
        <v>192000</v>
      </c>
    </row>
    <row r="46" spans="1:12">
      <c r="A46" s="34" t="s">
        <v>237</v>
      </c>
      <c r="C46" s="1">
        <f>(('Unit cost and price'!D9/1000)+'5 Yr IS Projections (2)'!C10+'5 Yr IS Projections (2)'!C9)/C3</f>
        <v>43586.805555555555</v>
      </c>
      <c r="D46" s="1">
        <f>(('Unit cost and price'!E9/1000)+'5 Yr IS Projections (2)'!D10+'5 Yr IS Projections (2)'!D9)/D3</f>
        <v>43500</v>
      </c>
      <c r="E46" s="1">
        <f>(('Unit cost and price'!F9/1000)+'5 Yr IS Projections (2)'!E10+'5 Yr IS Projections (2)'!E9)/E3</f>
        <v>43500</v>
      </c>
      <c r="F46" s="1">
        <f>(('Unit cost and price'!G9/1000)+'5 Yr IS Projections (2)'!F10+'5 Yr IS Projections (2)'!F9)/F3</f>
        <v>43500</v>
      </c>
      <c r="G46" s="1">
        <f>(('Unit cost and price'!H9/1000)+'5 Yr IS Projections (2)'!G10+'5 Yr IS Projections (2)'!G9)/G3</f>
        <v>43500</v>
      </c>
    </row>
    <row r="47" spans="1:12">
      <c r="A47" s="34" t="s">
        <v>238</v>
      </c>
      <c r="C47" s="13">
        <f>C8/C3</f>
        <v>60000</v>
      </c>
      <c r="D47" s="13">
        <f>D8/D3</f>
        <v>60000</v>
      </c>
      <c r="E47" s="13">
        <f>E8/E3</f>
        <v>60000</v>
      </c>
      <c r="F47" s="13">
        <f>F8/F3</f>
        <v>60000</v>
      </c>
      <c r="G47" s="13">
        <f>G8/G3</f>
        <v>60000</v>
      </c>
    </row>
    <row r="48" spans="1:12">
      <c r="A48" s="34" t="s">
        <v>239</v>
      </c>
      <c r="C48">
        <f>C37/C47</f>
        <v>195.21</v>
      </c>
      <c r="D48">
        <f t="shared" ref="D48:G48" si="16">D37/D47</f>
        <v>195.21</v>
      </c>
      <c r="E48">
        <f t="shared" si="16"/>
        <v>195.21</v>
      </c>
      <c r="F48">
        <f t="shared" si="16"/>
        <v>195.21</v>
      </c>
      <c r="G48">
        <f t="shared" si="16"/>
        <v>195.21</v>
      </c>
    </row>
    <row r="52" spans="7:7">
      <c r="G52" s="21">
        <f>B28/750000</f>
        <v>0</v>
      </c>
    </row>
  </sheetData>
  <mergeCells count="1">
    <mergeCell ref="C1:H1"/>
  </mergeCells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N51"/>
  <sheetViews>
    <sheetView workbookViewId="0">
      <selection activeCell="I20" sqref="I20"/>
    </sheetView>
  </sheetViews>
  <sheetFormatPr baseColWidth="10" defaultColWidth="8.83203125" defaultRowHeight="14"/>
  <cols>
    <col min="1" max="1" width="38" customWidth="1"/>
    <col min="2" max="2" width="40.6640625" customWidth="1"/>
    <col min="3" max="3" width="15.6640625" customWidth="1"/>
    <col min="4" max="4" width="12" customWidth="1"/>
    <col min="5" max="5" width="11.5" customWidth="1"/>
    <col min="6" max="6" width="12.5" customWidth="1"/>
    <col min="7" max="7" width="12" customWidth="1"/>
    <col min="8" max="8" width="12.5" customWidth="1"/>
    <col min="9" max="9" width="11.83203125" customWidth="1"/>
    <col min="10" max="10" width="12.5" customWidth="1"/>
    <col min="11" max="11" width="12.1640625" customWidth="1"/>
    <col min="12" max="12" width="12" customWidth="1"/>
    <col min="13" max="13" width="12.1640625" customWidth="1"/>
  </cols>
  <sheetData>
    <row r="1" spans="1:13" ht="18">
      <c r="C1" s="126" t="s">
        <v>45</v>
      </c>
      <c r="D1" s="126"/>
      <c r="E1" s="126"/>
      <c r="F1" s="126"/>
      <c r="G1" s="126"/>
      <c r="H1" s="126"/>
      <c r="I1" s="11"/>
      <c r="J1" s="11"/>
      <c r="K1" s="11"/>
    </row>
    <row r="2" spans="1:13" s="103" customFormat="1">
      <c r="A2" s="103" t="s">
        <v>264</v>
      </c>
      <c r="C2" s="103">
        <v>1</v>
      </c>
      <c r="D2" s="103">
        <v>2</v>
      </c>
      <c r="E2" s="103">
        <v>3</v>
      </c>
      <c r="F2" s="103">
        <v>4</v>
      </c>
      <c r="G2" s="103">
        <v>5</v>
      </c>
      <c r="H2" s="103" t="s">
        <v>196</v>
      </c>
      <c r="I2" s="76"/>
      <c r="J2" s="76"/>
      <c r="K2" s="76"/>
      <c r="L2" s="76"/>
    </row>
    <row r="3" spans="1:13">
      <c r="A3" t="s">
        <v>108</v>
      </c>
      <c r="C3" s="81">
        <v>24</v>
      </c>
      <c r="D3" s="81">
        <v>24</v>
      </c>
      <c r="E3" s="81">
        <v>24</v>
      </c>
      <c r="F3" s="81">
        <v>24</v>
      </c>
      <c r="G3" s="81">
        <v>24</v>
      </c>
      <c r="H3" s="82">
        <f>SUM(B3:G3)</f>
        <v>120</v>
      </c>
      <c r="I3" s="11"/>
      <c r="J3" s="11"/>
      <c r="K3" s="11"/>
      <c r="L3" s="11"/>
      <c r="M3" s="11"/>
    </row>
    <row r="4" spans="1:13">
      <c r="A4" t="s">
        <v>109</v>
      </c>
      <c r="B4" s="17" t="s">
        <v>111</v>
      </c>
      <c r="C4" s="11">
        <v>450000</v>
      </c>
      <c r="D4" s="11">
        <f>C4</f>
        <v>450000</v>
      </c>
      <c r="E4" s="11">
        <f>D4</f>
        <v>450000</v>
      </c>
      <c r="F4" s="11">
        <f>E4</f>
        <v>450000</v>
      </c>
      <c r="G4" s="11">
        <f>F4</f>
        <v>450000</v>
      </c>
      <c r="H4" s="1">
        <f t="shared" ref="H4:H5" si="0">SUM(B4:G4)</f>
        <v>2250000</v>
      </c>
      <c r="I4" s="11"/>
      <c r="J4" s="11"/>
      <c r="K4" s="11"/>
      <c r="L4" s="11"/>
      <c r="M4" s="11"/>
    </row>
    <row r="5" spans="1:13">
      <c r="A5" t="s">
        <v>211</v>
      </c>
      <c r="C5" s="77">
        <f>C4*C3</f>
        <v>10800000</v>
      </c>
      <c r="D5" s="77">
        <f t="shared" ref="D5:G5" si="1">D4*D3</f>
        <v>10800000</v>
      </c>
      <c r="E5" s="77">
        <f t="shared" si="1"/>
        <v>10800000</v>
      </c>
      <c r="F5" s="77">
        <f t="shared" si="1"/>
        <v>10800000</v>
      </c>
      <c r="G5" s="77">
        <f t="shared" si="1"/>
        <v>10800000</v>
      </c>
      <c r="H5" s="66">
        <f t="shared" si="0"/>
        <v>54000000</v>
      </c>
      <c r="I5" s="11"/>
      <c r="J5" s="11"/>
      <c r="K5" s="11"/>
      <c r="L5" s="11"/>
      <c r="M5" s="11"/>
    </row>
    <row r="6" spans="1:13">
      <c r="A6" s="51" t="s">
        <v>110</v>
      </c>
      <c r="C6" s="11"/>
      <c r="D6" s="11"/>
      <c r="E6" s="11"/>
      <c r="F6" s="11"/>
      <c r="G6" s="11"/>
      <c r="H6" s="8"/>
      <c r="I6" s="11"/>
      <c r="J6" s="11"/>
      <c r="K6" s="11"/>
    </row>
    <row r="7" spans="1:13">
      <c r="A7" t="s">
        <v>99</v>
      </c>
      <c r="B7" t="s">
        <v>172</v>
      </c>
      <c r="C7" s="24">
        <f>8000*24*20*1.2</f>
        <v>4608000</v>
      </c>
      <c r="D7" s="24">
        <f t="shared" ref="D7:G16" si="2">C7</f>
        <v>4608000</v>
      </c>
      <c r="E7" s="24">
        <f t="shared" si="2"/>
        <v>4608000</v>
      </c>
      <c r="F7" s="24">
        <f t="shared" si="2"/>
        <v>4608000</v>
      </c>
      <c r="G7" s="24">
        <f t="shared" si="2"/>
        <v>4608000</v>
      </c>
      <c r="H7" s="29">
        <f t="shared" ref="H7:H16" si="3">SUM(B7:G7)</f>
        <v>23040000</v>
      </c>
      <c r="I7" s="24"/>
      <c r="J7" s="24"/>
      <c r="K7" s="24"/>
      <c r="L7" s="24"/>
      <c r="M7" s="24"/>
    </row>
    <row r="8" spans="1:13">
      <c r="A8" t="s">
        <v>292</v>
      </c>
      <c r="B8" t="s">
        <v>157</v>
      </c>
      <c r="C8" s="24">
        <f>60000*24</f>
        <v>1440000</v>
      </c>
      <c r="D8" s="24">
        <f t="shared" si="2"/>
        <v>1440000</v>
      </c>
      <c r="E8" s="11">
        <f t="shared" si="2"/>
        <v>1440000</v>
      </c>
      <c r="F8" s="11">
        <f t="shared" si="2"/>
        <v>1440000</v>
      </c>
      <c r="G8" s="11">
        <f t="shared" si="2"/>
        <v>1440000</v>
      </c>
      <c r="H8" s="1">
        <f t="shared" si="3"/>
        <v>7200000</v>
      </c>
      <c r="I8" s="11"/>
      <c r="J8" s="11"/>
      <c r="K8" s="11"/>
      <c r="L8" s="11"/>
    </row>
    <row r="9" spans="1:13">
      <c r="A9" t="s">
        <v>102</v>
      </c>
      <c r="B9" t="s">
        <v>158</v>
      </c>
      <c r="C9" s="28">
        <f>15000*24</f>
        <v>360000</v>
      </c>
      <c r="D9" s="11">
        <f t="shared" si="2"/>
        <v>360000</v>
      </c>
      <c r="E9" s="11">
        <f t="shared" si="2"/>
        <v>360000</v>
      </c>
      <c r="F9" s="11">
        <f t="shared" si="2"/>
        <v>360000</v>
      </c>
      <c r="G9" s="11">
        <f t="shared" si="2"/>
        <v>360000</v>
      </c>
      <c r="H9" s="1">
        <f t="shared" si="3"/>
        <v>1800000</v>
      </c>
      <c r="I9" s="11"/>
      <c r="J9" s="11"/>
      <c r="K9" s="11"/>
      <c r="L9" s="11"/>
    </row>
    <row r="10" spans="1:13">
      <c r="A10" t="s">
        <v>192</v>
      </c>
      <c r="B10" t="s">
        <v>156</v>
      </c>
      <c r="C10" s="24">
        <f>9*3500*24</f>
        <v>756000</v>
      </c>
      <c r="D10" s="11">
        <f t="shared" si="2"/>
        <v>756000</v>
      </c>
      <c r="E10" s="11">
        <f t="shared" si="2"/>
        <v>756000</v>
      </c>
      <c r="F10" s="11">
        <f>E10</f>
        <v>756000</v>
      </c>
      <c r="G10" s="11">
        <f t="shared" si="2"/>
        <v>756000</v>
      </c>
      <c r="H10" s="1">
        <f t="shared" si="3"/>
        <v>3780000</v>
      </c>
      <c r="I10" s="11"/>
      <c r="J10" s="11"/>
      <c r="K10" s="11"/>
      <c r="L10" s="11"/>
    </row>
    <row r="11" spans="1:13">
      <c r="A11" t="s">
        <v>82</v>
      </c>
      <c r="C11" s="85">
        <f>SUM(C7:C10)</f>
        <v>7164000</v>
      </c>
      <c r="D11" s="85">
        <f t="shared" ref="D11:H11" si="4">SUM(D7:D10)</f>
        <v>7164000</v>
      </c>
      <c r="E11" s="85">
        <f t="shared" si="4"/>
        <v>7164000</v>
      </c>
      <c r="F11" s="85">
        <f t="shared" si="4"/>
        <v>7164000</v>
      </c>
      <c r="G11" s="85">
        <f t="shared" si="4"/>
        <v>7164000</v>
      </c>
      <c r="H11" s="85">
        <f t="shared" si="4"/>
        <v>35820000</v>
      </c>
      <c r="I11" s="11"/>
      <c r="J11" s="11"/>
      <c r="K11" s="11"/>
      <c r="L11" s="11"/>
    </row>
    <row r="12" spans="1:13">
      <c r="A12" s="51" t="s">
        <v>81</v>
      </c>
      <c r="C12" s="86"/>
      <c r="D12" s="86"/>
      <c r="E12" s="86"/>
      <c r="F12" s="86"/>
      <c r="G12" s="86"/>
      <c r="H12" s="86"/>
      <c r="I12" s="11"/>
      <c r="J12" s="11"/>
      <c r="K12" s="11"/>
      <c r="L12" s="11"/>
    </row>
    <row r="13" spans="1:13">
      <c r="A13" t="s">
        <v>200</v>
      </c>
      <c r="B13" t="s">
        <v>164</v>
      </c>
      <c r="C13" s="28">
        <f>100000*24</f>
        <v>2400000</v>
      </c>
      <c r="D13" s="11">
        <f t="shared" si="2"/>
        <v>2400000</v>
      </c>
      <c r="E13" s="11">
        <f t="shared" si="2"/>
        <v>2400000</v>
      </c>
      <c r="F13" s="11">
        <f t="shared" si="2"/>
        <v>2400000</v>
      </c>
      <c r="G13" s="11">
        <f t="shared" si="2"/>
        <v>2400000</v>
      </c>
      <c r="H13" s="1">
        <f t="shared" si="3"/>
        <v>12000000</v>
      </c>
      <c r="I13" s="11"/>
      <c r="J13" s="11"/>
      <c r="K13" s="11"/>
      <c r="L13" s="11"/>
    </row>
    <row r="14" spans="1:13">
      <c r="A14" t="s">
        <v>117</v>
      </c>
      <c r="B14" t="s">
        <v>159</v>
      </c>
      <c r="C14" s="24">
        <f>15000*12</f>
        <v>180000</v>
      </c>
      <c r="D14" s="11">
        <f t="shared" si="2"/>
        <v>180000</v>
      </c>
      <c r="E14" s="11">
        <f t="shared" si="2"/>
        <v>180000</v>
      </c>
      <c r="F14" s="11">
        <f t="shared" si="2"/>
        <v>180000</v>
      </c>
      <c r="G14" s="11">
        <f t="shared" si="2"/>
        <v>180000</v>
      </c>
      <c r="H14" s="1">
        <f t="shared" si="3"/>
        <v>900000</v>
      </c>
      <c r="I14" s="11"/>
      <c r="J14" s="11"/>
      <c r="K14" s="11"/>
      <c r="L14" s="11"/>
    </row>
    <row r="15" spans="1:13">
      <c r="A15" t="s">
        <v>168</v>
      </c>
      <c r="B15" t="s">
        <v>170</v>
      </c>
      <c r="C15" s="24">
        <f>354.167*24</f>
        <v>8500.0079999999998</v>
      </c>
      <c r="D15" s="11">
        <f t="shared" si="2"/>
        <v>8500.0079999999998</v>
      </c>
      <c r="E15" s="11">
        <f t="shared" si="2"/>
        <v>8500.0079999999998</v>
      </c>
      <c r="F15" s="11">
        <f t="shared" si="2"/>
        <v>8500.0079999999998</v>
      </c>
      <c r="G15" s="11">
        <f t="shared" si="2"/>
        <v>8500.0079999999998</v>
      </c>
      <c r="H15" s="1">
        <f t="shared" si="3"/>
        <v>42500.04</v>
      </c>
      <c r="I15" s="11"/>
      <c r="J15" s="11"/>
      <c r="K15" s="11"/>
      <c r="L15" s="11"/>
    </row>
    <row r="16" spans="1:13">
      <c r="A16" t="s">
        <v>169</v>
      </c>
      <c r="B16" t="s">
        <v>32</v>
      </c>
      <c r="C16" s="24">
        <f>1250*24</f>
        <v>30000</v>
      </c>
      <c r="D16" s="11">
        <f t="shared" si="2"/>
        <v>30000</v>
      </c>
      <c r="E16" s="11">
        <f t="shared" si="2"/>
        <v>30000</v>
      </c>
      <c r="F16" s="11"/>
      <c r="G16" s="11"/>
      <c r="H16" s="1">
        <f t="shared" si="3"/>
        <v>90000</v>
      </c>
      <c r="I16" s="11"/>
      <c r="J16" s="13"/>
      <c r="K16" s="11"/>
      <c r="L16" s="11"/>
    </row>
    <row r="17" spans="1:14">
      <c r="A17" t="s">
        <v>177</v>
      </c>
      <c r="C17" s="12">
        <f>Interest!G5</f>
        <v>130800</v>
      </c>
      <c r="D17" s="12">
        <f>Interest!G6</f>
        <v>92400</v>
      </c>
      <c r="E17" s="12">
        <f>Interest!G7</f>
        <v>54000</v>
      </c>
      <c r="F17" s="12">
        <f>Interest!G8</f>
        <v>17400</v>
      </c>
      <c r="G17">
        <v>0</v>
      </c>
      <c r="H17" s="26">
        <f>SUM(B17:F17)</f>
        <v>294600</v>
      </c>
      <c r="I17" s="11"/>
      <c r="J17" s="11"/>
      <c r="K17" s="11"/>
      <c r="L17" s="11"/>
    </row>
    <row r="18" spans="1:14">
      <c r="A18" t="s">
        <v>82</v>
      </c>
      <c r="C18" s="119">
        <f>SUM(C13:C17)</f>
        <v>2749300.0079999999</v>
      </c>
      <c r="D18" s="119">
        <f t="shared" ref="D18:H18" si="5">SUM(D13:D17)</f>
        <v>2710900.0079999999</v>
      </c>
      <c r="E18" s="119">
        <f t="shared" si="5"/>
        <v>2672500.0079999999</v>
      </c>
      <c r="F18" s="119">
        <f t="shared" si="5"/>
        <v>2605900.0079999999</v>
      </c>
      <c r="G18" s="119">
        <f t="shared" si="5"/>
        <v>2588500.0079999999</v>
      </c>
      <c r="H18" s="119">
        <f t="shared" si="5"/>
        <v>13327100.039999999</v>
      </c>
      <c r="I18" s="11"/>
      <c r="J18" s="11"/>
      <c r="K18" s="11"/>
      <c r="L18" s="11"/>
    </row>
    <row r="19" spans="1:14">
      <c r="C19" s="24"/>
      <c r="D19" s="24"/>
      <c r="E19" s="24"/>
      <c r="F19" s="24"/>
      <c r="G19" s="110"/>
      <c r="H19" s="29"/>
      <c r="I19" s="11"/>
      <c r="J19" s="11"/>
      <c r="K19" s="11"/>
      <c r="L19" s="11"/>
    </row>
    <row r="20" spans="1:14">
      <c r="A20" s="4" t="s">
        <v>330</v>
      </c>
      <c r="B20" s="4"/>
      <c r="C20" s="77">
        <f>C11+C18</f>
        <v>9913300.0079999994</v>
      </c>
      <c r="D20" s="77">
        <f t="shared" ref="D20:H20" si="6">D11+D18</f>
        <v>9874900.0079999994</v>
      </c>
      <c r="E20" s="77">
        <f t="shared" si="6"/>
        <v>9836500.0079999994</v>
      </c>
      <c r="F20" s="77">
        <f t="shared" si="6"/>
        <v>9769900.0079999994</v>
      </c>
      <c r="G20" s="77">
        <f t="shared" si="6"/>
        <v>9752500.0079999994</v>
      </c>
      <c r="H20" s="77">
        <f t="shared" si="6"/>
        <v>49147100.039999999</v>
      </c>
      <c r="I20" s="11"/>
      <c r="J20" s="11"/>
      <c r="K20" s="11"/>
      <c r="L20" s="11"/>
    </row>
    <row r="21" spans="1:14">
      <c r="C21" s="11"/>
      <c r="D21" s="11"/>
      <c r="E21" s="11"/>
      <c r="F21" s="11"/>
      <c r="G21" s="11"/>
      <c r="H21" s="8"/>
      <c r="I21" s="11"/>
      <c r="J21" s="11"/>
      <c r="K21" s="11"/>
    </row>
    <row r="22" spans="1:14">
      <c r="A22" s="4" t="s">
        <v>338</v>
      </c>
      <c r="B22" s="4"/>
      <c r="C22" s="24">
        <f t="shared" ref="C22:H22" si="7">C5-C20</f>
        <v>886699.99200000055</v>
      </c>
      <c r="D22" s="24">
        <f t="shared" si="7"/>
        <v>925099.99200000055</v>
      </c>
      <c r="E22" s="24">
        <f t="shared" si="7"/>
        <v>963499.99200000055</v>
      </c>
      <c r="F22" s="24">
        <f t="shared" si="7"/>
        <v>1030099.9920000006</v>
      </c>
      <c r="G22" s="24">
        <f t="shared" si="7"/>
        <v>1047499.9920000006</v>
      </c>
      <c r="H22" s="24">
        <f t="shared" si="7"/>
        <v>4852899.9600000009</v>
      </c>
      <c r="I22" s="24"/>
      <c r="J22" s="24"/>
      <c r="K22" s="24"/>
      <c r="L22" s="24"/>
      <c r="M22" s="25"/>
      <c r="N22" s="25"/>
    </row>
    <row r="23" spans="1:14">
      <c r="A23" t="s">
        <v>39</v>
      </c>
      <c r="C23" s="11">
        <f>C22*0.3</f>
        <v>266009.99760000018</v>
      </c>
      <c r="D23" s="11">
        <f t="shared" ref="D23:H23" si="8">D22*0.3</f>
        <v>277529.99760000018</v>
      </c>
      <c r="E23" s="11">
        <f t="shared" si="8"/>
        <v>289049.99760000018</v>
      </c>
      <c r="F23" s="11">
        <f t="shared" si="8"/>
        <v>309029.99760000018</v>
      </c>
      <c r="G23" s="11">
        <f t="shared" si="8"/>
        <v>314249.99760000018</v>
      </c>
      <c r="H23" s="11">
        <f t="shared" si="8"/>
        <v>1455869.9880000001</v>
      </c>
      <c r="I23" s="11"/>
      <c r="J23" s="11"/>
      <c r="K23" s="11"/>
      <c r="M23" s="11"/>
    </row>
    <row r="24" spans="1:14" ht="15" thickBot="1">
      <c r="A24" s="4" t="s">
        <v>208</v>
      </c>
      <c r="C24" s="78">
        <f>C22-C23</f>
        <v>620689.99440000043</v>
      </c>
      <c r="D24" s="78">
        <f t="shared" ref="D24:H24" si="9">D22-D23</f>
        <v>647569.99440000043</v>
      </c>
      <c r="E24" s="78">
        <f t="shared" si="9"/>
        <v>674449.99440000043</v>
      </c>
      <c r="F24" s="78">
        <f t="shared" si="9"/>
        <v>721069.99440000043</v>
      </c>
      <c r="G24" s="78">
        <f t="shared" si="9"/>
        <v>733249.99440000043</v>
      </c>
      <c r="H24" s="78">
        <f t="shared" si="9"/>
        <v>3397029.972000001</v>
      </c>
      <c r="I24" s="11"/>
      <c r="J24" s="11"/>
      <c r="K24" s="11"/>
    </row>
    <row r="25" spans="1:14" ht="15" thickTop="1">
      <c r="A25" t="s">
        <v>123</v>
      </c>
      <c r="C25" s="11"/>
      <c r="D25" s="11"/>
      <c r="E25" s="11"/>
      <c r="F25" s="11"/>
      <c r="G25" s="11"/>
      <c r="H25" s="8"/>
      <c r="I25" s="11"/>
      <c r="J25" s="11"/>
      <c r="K25" s="11"/>
      <c r="L25" s="11"/>
    </row>
    <row r="26" spans="1:14">
      <c r="C26" s="11"/>
      <c r="D26" s="11"/>
      <c r="E26" s="11"/>
      <c r="F26" s="11"/>
      <c r="G26" s="11"/>
      <c r="H26" s="8"/>
      <c r="I26" s="11"/>
      <c r="J26" s="11"/>
      <c r="K26" s="11"/>
      <c r="L26" s="11"/>
    </row>
    <row r="27" spans="1:14">
      <c r="A27" t="s">
        <v>78</v>
      </c>
      <c r="B27" s="1"/>
      <c r="C27" s="8">
        <f>'BS 2006-07'!G23+'BS 2006-07'!G24</f>
        <v>7071000</v>
      </c>
      <c r="D27" s="8">
        <f>C28</f>
        <v>7691689.9944000002</v>
      </c>
      <c r="E27" s="8">
        <f>D28</f>
        <v>8339259.9888000004</v>
      </c>
      <c r="F27" s="8">
        <f>E28</f>
        <v>9013709.9832000006</v>
      </c>
      <c r="G27" s="8">
        <f>F28</f>
        <v>9734779.9776000008</v>
      </c>
      <c r="H27" s="8">
        <f>C27</f>
        <v>7071000</v>
      </c>
      <c r="I27" s="11"/>
      <c r="J27" s="11"/>
      <c r="K27" s="11"/>
      <c r="L27" s="11"/>
    </row>
    <row r="28" spans="1:14" ht="15" thickBot="1">
      <c r="A28" t="s">
        <v>79</v>
      </c>
      <c r="C28" s="80">
        <f>C27+C24</f>
        <v>7691689.9944000002</v>
      </c>
      <c r="D28" s="80">
        <f t="shared" ref="D28:H28" si="10">D27+D24</f>
        <v>8339259.9888000004</v>
      </c>
      <c r="E28" s="80">
        <f t="shared" si="10"/>
        <v>9013709.9832000006</v>
      </c>
      <c r="F28" s="80">
        <f t="shared" si="10"/>
        <v>9734779.9776000008</v>
      </c>
      <c r="G28" s="80">
        <f t="shared" si="10"/>
        <v>10468029.972000001</v>
      </c>
      <c r="H28" s="80">
        <f t="shared" si="10"/>
        <v>10468029.972000001</v>
      </c>
      <c r="I28" s="11"/>
      <c r="J28" s="11"/>
      <c r="K28" s="11"/>
      <c r="L28" s="11"/>
    </row>
    <row r="29" spans="1:14" ht="15" thickTop="1">
      <c r="C29" s="11"/>
      <c r="D29" s="11"/>
      <c r="E29" s="11"/>
      <c r="F29" s="11"/>
      <c r="G29" s="11"/>
      <c r="H29" s="8"/>
      <c r="I29" s="11"/>
      <c r="J29" s="11"/>
      <c r="K29" s="11"/>
      <c r="L29" s="11"/>
    </row>
    <row r="30" spans="1:14">
      <c r="C30" s="11"/>
      <c r="D30" s="11"/>
      <c r="E30" s="11"/>
      <c r="F30" s="11"/>
      <c r="G30" s="11"/>
      <c r="H30" s="8"/>
      <c r="I30" s="11"/>
      <c r="J30" s="11"/>
      <c r="K30" s="11"/>
      <c r="L30" s="11"/>
    </row>
    <row r="31" spans="1:14">
      <c r="C31" s="11"/>
      <c r="D31" s="11"/>
      <c r="E31" s="11"/>
      <c r="F31" s="11"/>
      <c r="G31" s="11"/>
      <c r="H31" s="8"/>
      <c r="I31" s="11"/>
      <c r="J31" s="11"/>
      <c r="K31" s="11"/>
      <c r="L31" s="11"/>
    </row>
    <row r="32" spans="1:14">
      <c r="C32" s="11"/>
      <c r="D32" s="11"/>
      <c r="E32" s="11"/>
      <c r="F32" s="11"/>
      <c r="G32" s="11"/>
      <c r="H32" s="8"/>
      <c r="I32" s="11"/>
      <c r="J32" s="11"/>
      <c r="K32" s="11"/>
      <c r="L32" s="11"/>
    </row>
    <row r="33" spans="1:12">
      <c r="A33" s="4"/>
      <c r="C33" s="11"/>
      <c r="D33" s="11"/>
      <c r="E33" s="11"/>
      <c r="F33" s="11"/>
      <c r="G33" s="11"/>
      <c r="H33" s="8"/>
      <c r="I33" s="11"/>
      <c r="J33" s="11"/>
      <c r="K33" s="11"/>
      <c r="L33" s="11"/>
    </row>
    <row r="34" spans="1:12">
      <c r="A34" s="51" t="s">
        <v>86</v>
      </c>
      <c r="C34" s="102"/>
      <c r="H34" s="1"/>
    </row>
    <row r="35" spans="1:12">
      <c r="A35" t="s">
        <v>80</v>
      </c>
      <c r="C35" s="83">
        <f>C24/(0.5*(B27+C27))</f>
        <v>0.17555932524395429</v>
      </c>
      <c r="D35" s="83">
        <f t="shared" ref="D35:G35" si="11">D24/(0.5*(C27+D27))</f>
        <v>8.7730622894018118E-2</v>
      </c>
      <c r="E35" s="83">
        <f t="shared" si="11"/>
        <v>8.414348433583857E-2</v>
      </c>
      <c r="F35" s="83">
        <f t="shared" si="11"/>
        <v>8.3106234329165279E-2</v>
      </c>
      <c r="G35" s="83">
        <f t="shared" si="11"/>
        <v>7.8219632187243371E-2</v>
      </c>
      <c r="H35" s="88"/>
    </row>
    <row r="36" spans="1:12">
      <c r="A36" t="s">
        <v>228</v>
      </c>
      <c r="C36" s="92">
        <f>C5</f>
        <v>10800000</v>
      </c>
      <c r="D36" s="92">
        <f>D5</f>
        <v>10800000</v>
      </c>
      <c r="E36" s="92">
        <f>E5</f>
        <v>10800000</v>
      </c>
      <c r="F36" s="92">
        <f>F5</f>
        <v>10800000</v>
      </c>
      <c r="G36" s="92">
        <f>G5</f>
        <v>10800000</v>
      </c>
      <c r="H36" s="1"/>
    </row>
    <row r="37" spans="1:12">
      <c r="A37" t="s">
        <v>229</v>
      </c>
      <c r="C37" s="13">
        <f>C4</f>
        <v>450000</v>
      </c>
      <c r="D37" s="13">
        <f>D4</f>
        <v>450000</v>
      </c>
      <c r="E37" s="13">
        <f>E4</f>
        <v>450000</v>
      </c>
      <c r="F37" s="13">
        <f>F4</f>
        <v>450000</v>
      </c>
      <c r="G37" s="13">
        <f>G4</f>
        <v>450000</v>
      </c>
      <c r="H37" s="1"/>
    </row>
    <row r="38" spans="1:12">
      <c r="A38" t="s">
        <v>230</v>
      </c>
      <c r="C38" s="13">
        <f>C20/C3</f>
        <v>413054.16699999996</v>
      </c>
      <c r="D38" s="13">
        <f>D20/D3</f>
        <v>411454.16699999996</v>
      </c>
      <c r="E38" s="13">
        <f>E20/E3</f>
        <v>409854.16699999996</v>
      </c>
      <c r="F38" s="13">
        <f>F20/F3</f>
        <v>407079.16699999996</v>
      </c>
      <c r="G38" s="13">
        <f>G20/G3</f>
        <v>406354.16699999996</v>
      </c>
      <c r="H38" s="1"/>
    </row>
    <row r="39" spans="1:12">
      <c r="A39" t="s">
        <v>232</v>
      </c>
      <c r="C39" s="13">
        <f>C11/C3</f>
        <v>298500</v>
      </c>
      <c r="D39" s="13">
        <f t="shared" ref="D39:G39" si="12">D11/D3</f>
        <v>298500</v>
      </c>
      <c r="E39" s="13">
        <f t="shared" si="12"/>
        <v>298500</v>
      </c>
      <c r="F39" s="13">
        <f t="shared" si="12"/>
        <v>298500</v>
      </c>
      <c r="G39" s="13">
        <f t="shared" si="12"/>
        <v>298500</v>
      </c>
      <c r="H39" s="1"/>
    </row>
    <row r="40" spans="1:12">
      <c r="A40" t="s">
        <v>231</v>
      </c>
      <c r="C40" s="13">
        <f>C18/C3</f>
        <v>114554.167</v>
      </c>
      <c r="D40" s="13">
        <f>D18/D3</f>
        <v>112954.167</v>
      </c>
      <c r="E40" s="13">
        <f t="shared" ref="E40:G40" si="13">E18/E3</f>
        <v>111354.167</v>
      </c>
      <c r="F40" s="13">
        <f t="shared" si="13"/>
        <v>108579.167</v>
      </c>
      <c r="G40" s="13">
        <f t="shared" si="13"/>
        <v>107854.167</v>
      </c>
      <c r="H40" s="13"/>
      <c r="I40" s="13"/>
    </row>
    <row r="41" spans="1:12">
      <c r="A41" s="14" t="s">
        <v>84</v>
      </c>
      <c r="C41" s="96">
        <f>(C37-C38)/C38</f>
        <v>8.9445491540096358E-2</v>
      </c>
      <c r="D41" s="96">
        <f t="shared" ref="D41:G41" si="14">(D37-D38)/D38</f>
        <v>9.3681960450287635E-2</v>
      </c>
      <c r="E41" s="96">
        <f t="shared" si="14"/>
        <v>9.7951506248806899E-2</v>
      </c>
      <c r="F41" s="96">
        <f t="shared" si="14"/>
        <v>0.10543608339456008</v>
      </c>
      <c r="G41" s="96">
        <f t="shared" si="14"/>
        <v>0.10740835592317194</v>
      </c>
    </row>
    <row r="42" spans="1:12">
      <c r="A42" t="s">
        <v>234</v>
      </c>
      <c r="C42" s="96">
        <f>(C37-C39)/C39</f>
        <v>0.50753768844221103</v>
      </c>
      <c r="D42" s="96">
        <f t="shared" ref="D42:G42" si="15">(D37-D39)/D39</f>
        <v>0.50753768844221103</v>
      </c>
      <c r="E42" s="96">
        <f t="shared" si="15"/>
        <v>0.50753768844221103</v>
      </c>
      <c r="F42" s="96">
        <f t="shared" si="15"/>
        <v>0.50753768844221103</v>
      </c>
      <c r="G42" s="96">
        <f t="shared" si="15"/>
        <v>0.50753768844221103</v>
      </c>
    </row>
    <row r="43" spans="1:12">
      <c r="A43" s="34" t="s">
        <v>235</v>
      </c>
      <c r="C43">
        <v>24</v>
      </c>
      <c r="D43">
        <v>24</v>
      </c>
      <c r="E43">
        <v>24</v>
      </c>
      <c r="F43">
        <v>24</v>
      </c>
      <c r="G43">
        <v>24</v>
      </c>
    </row>
    <row r="44" spans="1:12">
      <c r="A44" s="34" t="s">
        <v>236</v>
      </c>
      <c r="C44" s="13">
        <f>C7/C3</f>
        <v>192000</v>
      </c>
      <c r="D44" s="13">
        <f>D7/D3</f>
        <v>192000</v>
      </c>
      <c r="E44" s="13">
        <f>E7/E3</f>
        <v>192000</v>
      </c>
      <c r="F44" s="13">
        <f>F7/F3</f>
        <v>192000</v>
      </c>
      <c r="G44" s="13">
        <f>G7/G3</f>
        <v>192000</v>
      </c>
    </row>
    <row r="45" spans="1:12">
      <c r="A45" s="34" t="s">
        <v>237</v>
      </c>
      <c r="C45" s="1">
        <f>(('Unit cost and price'!D9/1000)+'5 Yr IS Projections (5)'!C10+'5 Yr IS Projections (5)'!C9)/C3</f>
        <v>46586.805555555562</v>
      </c>
      <c r="D45" s="1">
        <f>(('Unit cost and price'!E9/1000)+'5 Yr IS Projections (5)'!D10+'5 Yr IS Projections (5)'!D9)/D3</f>
        <v>46500</v>
      </c>
      <c r="E45" s="1">
        <f>(('Unit cost and price'!F9/1000)+'5 Yr IS Projections (5)'!E10+'5 Yr IS Projections (5)'!E9)/E3</f>
        <v>46500</v>
      </c>
      <c r="F45" s="1">
        <f>(('Unit cost and price'!G9/1000)+'5 Yr IS Projections (5)'!F10+'5 Yr IS Projections (5)'!F9)/F3</f>
        <v>46500</v>
      </c>
      <c r="G45" s="1">
        <f>(('Unit cost and price'!H9/1000)+'5 Yr IS Projections (5)'!G10+'5 Yr IS Projections (5)'!G9)/G3</f>
        <v>46500</v>
      </c>
    </row>
    <row r="46" spans="1:12">
      <c r="A46" s="34" t="s">
        <v>238</v>
      </c>
      <c r="C46" s="13">
        <f>C8/C3</f>
        <v>60000</v>
      </c>
      <c r="D46" s="13">
        <f>D8/D3</f>
        <v>60000</v>
      </c>
      <c r="E46" s="13">
        <f>E8/E3</f>
        <v>60000</v>
      </c>
      <c r="F46" s="13">
        <f>F8/F3</f>
        <v>60000</v>
      </c>
      <c r="G46" s="13">
        <f>G8/G3</f>
        <v>60000</v>
      </c>
    </row>
    <row r="47" spans="1:12">
      <c r="A47" s="34" t="s">
        <v>239</v>
      </c>
      <c r="C47">
        <f>C36/C46</f>
        <v>180</v>
      </c>
      <c r="D47">
        <f t="shared" ref="D47:G47" si="16">D36/D46</f>
        <v>180</v>
      </c>
      <c r="E47">
        <f t="shared" si="16"/>
        <v>180</v>
      </c>
      <c r="F47">
        <f t="shared" si="16"/>
        <v>180</v>
      </c>
      <c r="G47">
        <f t="shared" si="16"/>
        <v>180</v>
      </c>
    </row>
    <row r="51" spans="7:7">
      <c r="G51" s="21">
        <f>B27/750000</f>
        <v>0</v>
      </c>
    </row>
  </sheetData>
  <mergeCells count="1">
    <mergeCell ref="C1:H1"/>
  </mergeCell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L36"/>
  <sheetViews>
    <sheetView workbookViewId="0">
      <selection activeCell="G20" sqref="G20"/>
    </sheetView>
  </sheetViews>
  <sheetFormatPr baseColWidth="10" defaultColWidth="8.83203125" defaultRowHeight="14"/>
  <cols>
    <col min="1" max="1" width="25.5" customWidth="1"/>
    <col min="2" max="2" width="12.1640625" customWidth="1"/>
    <col min="3" max="3" width="10.6640625" customWidth="1"/>
    <col min="4" max="4" width="18.33203125" customWidth="1"/>
    <col min="6" max="6" width="15.33203125" bestFit="1" customWidth="1"/>
    <col min="7" max="7" width="13.1640625" customWidth="1"/>
    <col min="8" max="8" width="14.33203125" customWidth="1"/>
    <col min="9" max="9" width="11.83203125" customWidth="1"/>
    <col min="10" max="10" width="11.5" customWidth="1"/>
  </cols>
  <sheetData>
    <row r="2" spans="1:12">
      <c r="A2" t="s">
        <v>321</v>
      </c>
      <c r="B2" s="45" t="s">
        <v>142</v>
      </c>
      <c r="C2" s="45" t="s">
        <v>323</v>
      </c>
      <c r="D2" s="45" t="s">
        <v>333</v>
      </c>
    </row>
    <row r="3" spans="1:12">
      <c r="A3" t="s">
        <v>325</v>
      </c>
      <c r="B3" s="1">
        <v>10000</v>
      </c>
      <c r="C3" s="1">
        <v>18000</v>
      </c>
      <c r="D3" s="1">
        <f>B3*C3</f>
        <v>180000000</v>
      </c>
      <c r="E3" s="1"/>
      <c r="I3" s="1"/>
      <c r="J3" s="1"/>
      <c r="K3" s="1"/>
      <c r="L3" s="1"/>
    </row>
    <row r="4" spans="1:12">
      <c r="A4" t="s">
        <v>326</v>
      </c>
      <c r="B4" s="1">
        <v>320</v>
      </c>
      <c r="C4" s="1">
        <v>200000</v>
      </c>
      <c r="D4" s="1">
        <f t="shared" ref="D4:D7" si="0">B4*C4</f>
        <v>64000000</v>
      </c>
      <c r="E4" s="1"/>
      <c r="I4" s="1"/>
      <c r="J4" s="1"/>
      <c r="K4" s="1"/>
      <c r="L4" s="1"/>
    </row>
    <row r="5" spans="1:12">
      <c r="A5" t="s">
        <v>327</v>
      </c>
      <c r="B5" s="1">
        <v>38000</v>
      </c>
      <c r="C5" s="1">
        <v>3150</v>
      </c>
      <c r="D5" s="1">
        <f t="shared" si="0"/>
        <v>119700000</v>
      </c>
      <c r="E5" s="1"/>
      <c r="F5" t="s">
        <v>356</v>
      </c>
      <c r="I5" s="1"/>
      <c r="J5" s="1"/>
      <c r="K5" s="1"/>
      <c r="L5" s="1"/>
    </row>
    <row r="6" spans="1:12">
      <c r="A6" t="s">
        <v>328</v>
      </c>
      <c r="B6" s="1">
        <v>1500</v>
      </c>
      <c r="C6" s="1">
        <v>15000</v>
      </c>
      <c r="D6" s="1">
        <f t="shared" si="0"/>
        <v>22500000</v>
      </c>
      <c r="E6" s="1"/>
      <c r="F6" t="s">
        <v>352</v>
      </c>
      <c r="G6" s="1">
        <f>'ZBB Bid'!G11</f>
        <v>82000000</v>
      </c>
      <c r="H6" s="1"/>
      <c r="I6" s="1"/>
      <c r="J6" s="1"/>
      <c r="K6" s="1"/>
      <c r="L6" s="1"/>
    </row>
    <row r="7" spans="1:12">
      <c r="A7" t="s">
        <v>329</v>
      </c>
      <c r="B7" s="1">
        <v>4</v>
      </c>
      <c r="C7" s="1">
        <v>500000</v>
      </c>
      <c r="D7" s="46">
        <f t="shared" si="0"/>
        <v>2000000</v>
      </c>
      <c r="E7" s="1"/>
      <c r="F7" t="s">
        <v>354</v>
      </c>
      <c r="G7" s="1">
        <f>'ZBB Bid'!G5-' Actual'!D8</f>
        <v>-115200000</v>
      </c>
      <c r="H7" s="1" t="s">
        <v>345</v>
      </c>
      <c r="I7" s="1"/>
      <c r="J7" s="1"/>
      <c r="K7" s="1"/>
      <c r="L7" s="1"/>
    </row>
    <row r="8" spans="1:12">
      <c r="A8" t="s">
        <v>330</v>
      </c>
      <c r="B8" s="1"/>
      <c r="C8" s="1"/>
      <c r="D8" s="2">
        <f>SUM(D3:D7)</f>
        <v>388200000</v>
      </c>
      <c r="E8" s="1"/>
      <c r="F8" s="4" t="s">
        <v>355</v>
      </c>
      <c r="G8" s="2">
        <f>SUM(G6:G7)</f>
        <v>-33200000</v>
      </c>
      <c r="H8" s="1"/>
      <c r="I8" s="1"/>
      <c r="J8" s="1"/>
      <c r="K8" s="1"/>
      <c r="L8" s="1"/>
    </row>
    <row r="9" spans="1:12">
      <c r="A9" t="s">
        <v>337</v>
      </c>
      <c r="B9" s="1"/>
      <c r="C9" s="1"/>
      <c r="D9" s="1">
        <f>D12-D10-D11</f>
        <v>326600000</v>
      </c>
      <c r="E9" s="1"/>
      <c r="F9" s="1"/>
      <c r="G9" s="1"/>
      <c r="H9" s="1"/>
      <c r="I9" s="1"/>
      <c r="J9" s="1"/>
      <c r="K9" s="1"/>
      <c r="L9" s="1"/>
    </row>
    <row r="10" spans="1:12">
      <c r="A10" t="s">
        <v>335</v>
      </c>
      <c r="B10" s="1"/>
      <c r="C10" s="1"/>
      <c r="D10" s="1">
        <f>D12*0.02</f>
        <v>7100000</v>
      </c>
      <c r="E10" s="1"/>
      <c r="F10" s="1"/>
      <c r="G10" s="1"/>
      <c r="H10" s="1"/>
      <c r="I10" s="1"/>
      <c r="J10" s="1"/>
      <c r="K10" s="1"/>
      <c r="L10" s="1"/>
    </row>
    <row r="11" spans="1:12">
      <c r="A11" t="s">
        <v>336</v>
      </c>
      <c r="B11" s="1"/>
      <c r="C11" s="1"/>
      <c r="D11" s="1">
        <f>D12*0.06</f>
        <v>21300000</v>
      </c>
      <c r="E11" s="1"/>
      <c r="J11" s="1"/>
      <c r="K11" s="1"/>
      <c r="L11" s="1"/>
    </row>
    <row r="12" spans="1:12" ht="15" thickBot="1">
      <c r="A12" t="s">
        <v>332</v>
      </c>
      <c r="B12" s="1"/>
      <c r="C12" s="1"/>
      <c r="D12" s="48">
        <v>355000000</v>
      </c>
      <c r="E12" s="1"/>
      <c r="J12" s="1"/>
      <c r="K12" s="1"/>
      <c r="L12" s="1"/>
    </row>
    <row r="13" spans="1:12" ht="15" thickTop="1">
      <c r="A13" t="s">
        <v>338</v>
      </c>
      <c r="B13" s="1"/>
      <c r="C13" s="1"/>
      <c r="D13" s="2">
        <f>D12-D8</f>
        <v>-33200000</v>
      </c>
      <c r="E13" s="1"/>
      <c r="J13" s="1"/>
      <c r="K13" s="1"/>
      <c r="L13" s="1"/>
    </row>
    <row r="14" spans="1:12">
      <c r="B14" s="1"/>
      <c r="C14" s="1"/>
      <c r="D14" s="1"/>
      <c r="E14" s="1"/>
      <c r="J14" s="1"/>
      <c r="K14" s="1"/>
      <c r="L14" s="1"/>
    </row>
    <row r="15" spans="1:12" ht="15" thickBot="1">
      <c r="A15" t="s">
        <v>185</v>
      </c>
      <c r="B15" s="1"/>
      <c r="C15" s="1"/>
      <c r="D15" s="49">
        <f>D9-D8</f>
        <v>-61600000</v>
      </c>
      <c r="E15" s="1"/>
      <c r="J15" s="1"/>
      <c r="K15" s="1"/>
      <c r="L15" s="1"/>
    </row>
    <row r="16" spans="1:12" ht="15" thickTop="1">
      <c r="B16" s="1"/>
      <c r="C16" s="1"/>
      <c r="D16" s="1"/>
      <c r="E16" s="1"/>
      <c r="J16" s="1"/>
      <c r="K16" s="1"/>
      <c r="L16" s="1"/>
    </row>
    <row r="17" spans="1:1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B21" s="124" t="s">
        <v>13</v>
      </c>
      <c r="C21" s="124"/>
      <c r="D21" s="124"/>
      <c r="E21" s="1"/>
      <c r="F21" s="1"/>
      <c r="G21" s="1"/>
      <c r="H21" s="1"/>
      <c r="I21" s="1"/>
      <c r="J21" s="1"/>
      <c r="K21" s="1"/>
      <c r="L21" s="1"/>
    </row>
    <row r="22" spans="1:12">
      <c r="A22" t="s">
        <v>321</v>
      </c>
      <c r="B22" t="s">
        <v>322</v>
      </c>
      <c r="C22" t="s">
        <v>323</v>
      </c>
      <c r="D22" t="s">
        <v>333</v>
      </c>
      <c r="E22" s="1"/>
      <c r="F22" s="1"/>
      <c r="G22" s="1"/>
      <c r="H22" s="1"/>
      <c r="I22" s="1"/>
      <c r="J22" s="1"/>
      <c r="K22" s="1"/>
      <c r="L22" s="1"/>
    </row>
    <row r="23" spans="1:12">
      <c r="A23" t="s">
        <v>15</v>
      </c>
      <c r="B23" s="1">
        <v>10000</v>
      </c>
      <c r="C23" s="1">
        <v>18000</v>
      </c>
      <c r="D23" s="1">
        <f>B23*C23</f>
        <v>180000000</v>
      </c>
    </row>
    <row r="24" spans="1:12">
      <c r="A24" t="s">
        <v>326</v>
      </c>
      <c r="B24" s="1">
        <v>320</v>
      </c>
      <c r="C24" s="1">
        <v>200000</v>
      </c>
      <c r="D24" s="1">
        <f t="shared" ref="D24:D27" si="1">B24*C24</f>
        <v>64000000</v>
      </c>
    </row>
    <row r="25" spans="1:12">
      <c r="A25" t="s">
        <v>327</v>
      </c>
      <c r="B25" s="1">
        <v>38000</v>
      </c>
      <c r="C25" s="1">
        <v>3150</v>
      </c>
      <c r="D25" s="1">
        <f t="shared" si="1"/>
        <v>119700000</v>
      </c>
    </row>
    <row r="26" spans="1:12">
      <c r="A26" t="s">
        <v>328</v>
      </c>
      <c r="B26" s="1">
        <v>1500</v>
      </c>
      <c r="C26" s="1">
        <v>15000</v>
      </c>
      <c r="D26" s="1">
        <f t="shared" si="1"/>
        <v>22500000</v>
      </c>
    </row>
    <row r="27" spans="1:12">
      <c r="A27" t="s">
        <v>329</v>
      </c>
      <c r="B27" s="1">
        <v>4</v>
      </c>
      <c r="C27" s="1">
        <v>500000</v>
      </c>
      <c r="D27" s="46">
        <f t="shared" si="1"/>
        <v>2000000</v>
      </c>
      <c r="F27" s="1" t="s">
        <v>120</v>
      </c>
      <c r="G27" s="1"/>
      <c r="H27" s="1"/>
      <c r="I27" s="1"/>
    </row>
    <row r="28" spans="1:12">
      <c r="A28" t="s">
        <v>330</v>
      </c>
      <c r="B28" s="1"/>
      <c r="C28" s="1"/>
      <c r="D28" s="2">
        <f>SUM(D23:D27)</f>
        <v>388200000</v>
      </c>
      <c r="F28" s="1"/>
      <c r="G28" s="1"/>
      <c r="H28" s="1"/>
      <c r="I28" s="1"/>
    </row>
    <row r="29" spans="1:12">
      <c r="A29" t="s">
        <v>337</v>
      </c>
      <c r="B29" s="1"/>
      <c r="C29" s="1"/>
      <c r="D29" s="1">
        <f>D32*0.92</f>
        <v>371956000</v>
      </c>
      <c r="F29" s="1" t="s">
        <v>343</v>
      </c>
      <c r="G29" s="1"/>
      <c r="H29" s="1">
        <f>'ZBB Bid'!G11</f>
        <v>82000000</v>
      </c>
      <c r="I29" s="1"/>
    </row>
    <row r="30" spans="1:12">
      <c r="A30" t="s">
        <v>335</v>
      </c>
      <c r="B30" s="1"/>
      <c r="C30" s="1"/>
      <c r="D30" s="1">
        <f>D32*0.02</f>
        <v>8086000</v>
      </c>
      <c r="F30" s="1" t="s">
        <v>344</v>
      </c>
      <c r="G30" s="1"/>
      <c r="H30" s="1">
        <f>'ZBB Bid'!G5-' Actual'!D8</f>
        <v>-115200000</v>
      </c>
      <c r="I30" s="1" t="s">
        <v>345</v>
      </c>
    </row>
    <row r="31" spans="1:12">
      <c r="A31" t="s">
        <v>336</v>
      </c>
      <c r="B31" s="1"/>
      <c r="C31" s="1"/>
      <c r="D31" s="1">
        <f>D32*0.06</f>
        <v>24258000</v>
      </c>
      <c r="F31" s="1" t="s">
        <v>346</v>
      </c>
      <c r="G31" s="1"/>
      <c r="H31" s="1">
        <f>D12-'ZBB Bid'!G8</f>
        <v>0</v>
      </c>
      <c r="I31" s="1" t="s">
        <v>347</v>
      </c>
    </row>
    <row r="32" spans="1:12" ht="15" thickBot="1">
      <c r="A32" t="s">
        <v>332</v>
      </c>
      <c r="B32" s="1"/>
      <c r="C32" s="1"/>
      <c r="D32" s="48">
        <v>404300000</v>
      </c>
      <c r="F32" s="2" t="s">
        <v>334</v>
      </c>
      <c r="G32" s="1"/>
      <c r="H32" s="1">
        <f>SUM(H29:H31)</f>
        <v>-33200000</v>
      </c>
      <c r="I32" s="1"/>
    </row>
    <row r="33" spans="1:4" ht="15" thickTop="1">
      <c r="A33" t="s">
        <v>338</v>
      </c>
      <c r="B33" s="1"/>
      <c r="C33" s="1"/>
      <c r="D33" s="2">
        <f>D32-D28</f>
        <v>16100000</v>
      </c>
    </row>
    <row r="34" spans="1:4">
      <c r="B34" s="1"/>
      <c r="C34" s="1"/>
      <c r="D34" s="1"/>
    </row>
    <row r="35" spans="1:4" ht="15" thickBot="1">
      <c r="A35" t="s">
        <v>185</v>
      </c>
      <c r="B35" s="1"/>
      <c r="C35" s="1"/>
      <c r="D35" s="49">
        <f>D29-D28</f>
        <v>-16244000</v>
      </c>
    </row>
    <row r="36" spans="1:4" ht="15" thickTop="1"/>
  </sheetData>
  <mergeCells count="1">
    <mergeCell ref="B21:D21"/>
  </mergeCells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N52"/>
  <sheetViews>
    <sheetView topLeftCell="B42" workbookViewId="0">
      <selection activeCell="I26" sqref="I26"/>
    </sheetView>
  </sheetViews>
  <sheetFormatPr baseColWidth="10" defaultColWidth="8.83203125" defaultRowHeight="14"/>
  <cols>
    <col min="1" max="1" width="38" customWidth="1"/>
    <col min="2" max="2" width="40.6640625" customWidth="1"/>
    <col min="3" max="3" width="15.6640625" customWidth="1"/>
    <col min="4" max="4" width="12" customWidth="1"/>
    <col min="5" max="5" width="11.5" customWidth="1"/>
    <col min="6" max="6" width="12.5" customWidth="1"/>
    <col min="7" max="7" width="12" customWidth="1"/>
    <col min="8" max="8" width="12.5" customWidth="1"/>
    <col min="9" max="9" width="11.83203125" customWidth="1"/>
    <col min="10" max="10" width="12.5" customWidth="1"/>
    <col min="11" max="11" width="12.1640625" customWidth="1"/>
    <col min="12" max="12" width="12" customWidth="1"/>
    <col min="13" max="13" width="12.1640625" customWidth="1"/>
  </cols>
  <sheetData>
    <row r="1" spans="1:13" ht="18">
      <c r="C1" s="126" t="s">
        <v>45</v>
      </c>
      <c r="D1" s="126"/>
      <c r="E1" s="126"/>
      <c r="F1" s="126"/>
      <c r="G1" s="126"/>
      <c r="H1" s="126"/>
      <c r="I1" s="11"/>
      <c r="J1" s="11"/>
      <c r="K1" s="11"/>
    </row>
    <row r="2" spans="1:13" s="105" customFormat="1">
      <c r="A2" s="105" t="s">
        <v>264</v>
      </c>
      <c r="C2" s="105">
        <v>1</v>
      </c>
      <c r="D2" s="105">
        <v>2</v>
      </c>
      <c r="E2" s="105">
        <v>3</v>
      </c>
      <c r="F2" s="105">
        <v>4</v>
      </c>
      <c r="G2" s="105">
        <v>5</v>
      </c>
      <c r="H2" s="105" t="s">
        <v>196</v>
      </c>
      <c r="I2" s="76"/>
      <c r="J2" s="76"/>
      <c r="K2" s="76"/>
      <c r="L2" s="76"/>
    </row>
    <row r="3" spans="1:13">
      <c r="A3" t="s">
        <v>108</v>
      </c>
      <c r="C3" s="81">
        <v>24</v>
      </c>
      <c r="D3" s="81">
        <v>24</v>
      </c>
      <c r="E3" s="81">
        <v>24</v>
      </c>
      <c r="F3" s="81">
        <v>24</v>
      </c>
      <c r="G3" s="81">
        <v>24</v>
      </c>
      <c r="H3" s="82">
        <f>SUM(B3:G3)</f>
        <v>120</v>
      </c>
      <c r="I3" s="11"/>
      <c r="J3" s="11"/>
      <c r="K3" s="11"/>
      <c r="L3" s="11"/>
      <c r="M3" s="11"/>
    </row>
    <row r="4" spans="1:13">
      <c r="A4" t="s">
        <v>109</v>
      </c>
      <c r="B4" s="17">
        <f>450000*108.45%</f>
        <v>488025</v>
      </c>
      <c r="C4" s="11">
        <f>B4</f>
        <v>488025</v>
      </c>
      <c r="D4" s="11">
        <f>C4</f>
        <v>488025</v>
      </c>
      <c r="E4" s="11">
        <f>D4</f>
        <v>488025</v>
      </c>
      <c r="F4" s="11">
        <f>E4</f>
        <v>488025</v>
      </c>
      <c r="G4" s="11">
        <f>F4</f>
        <v>488025</v>
      </c>
      <c r="H4" s="1">
        <f t="shared" ref="H4:H5" si="0">SUM(B4:G4)</f>
        <v>2928150</v>
      </c>
      <c r="I4" s="11"/>
      <c r="J4" s="11"/>
      <c r="K4" s="11"/>
      <c r="L4" s="11"/>
      <c r="M4" s="11"/>
    </row>
    <row r="5" spans="1:13">
      <c r="A5" t="s">
        <v>211</v>
      </c>
      <c r="C5" s="77">
        <f>C4*C3</f>
        <v>11712600</v>
      </c>
      <c r="D5" s="77">
        <f t="shared" ref="D5:G5" si="1">D4*D3</f>
        <v>11712600</v>
      </c>
      <c r="E5" s="77">
        <f t="shared" si="1"/>
        <v>11712600</v>
      </c>
      <c r="F5" s="77">
        <f t="shared" si="1"/>
        <v>11712600</v>
      </c>
      <c r="G5" s="77">
        <f t="shared" si="1"/>
        <v>11712600</v>
      </c>
      <c r="H5" s="66">
        <f t="shared" si="0"/>
        <v>58563000</v>
      </c>
      <c r="I5" s="11"/>
      <c r="J5" s="11"/>
      <c r="K5" s="11"/>
      <c r="L5" s="11"/>
      <c r="M5" s="11"/>
    </row>
    <row r="6" spans="1:13">
      <c r="A6" s="51" t="s">
        <v>110</v>
      </c>
      <c r="C6" s="11"/>
      <c r="D6" s="11"/>
      <c r="E6" s="11"/>
      <c r="F6" s="11"/>
      <c r="G6" s="11"/>
      <c r="H6" s="8"/>
      <c r="I6" s="11"/>
      <c r="J6" s="11"/>
      <c r="K6" s="11"/>
    </row>
    <row r="7" spans="1:13">
      <c r="A7" t="s">
        <v>99</v>
      </c>
      <c r="B7" t="s">
        <v>172</v>
      </c>
      <c r="C7" s="24">
        <f>8000*24*20*1.2</f>
        <v>4608000</v>
      </c>
      <c r="D7" s="24">
        <f t="shared" ref="D7:G16" si="2">C7</f>
        <v>4608000</v>
      </c>
      <c r="E7" s="24">
        <f t="shared" si="2"/>
        <v>4608000</v>
      </c>
      <c r="F7" s="24">
        <f t="shared" si="2"/>
        <v>4608000</v>
      </c>
      <c r="G7" s="24">
        <f t="shared" si="2"/>
        <v>4608000</v>
      </c>
      <c r="H7" s="29">
        <f t="shared" ref="H7:H16" si="3">SUM(B7:G7)</f>
        <v>23040000</v>
      </c>
      <c r="I7" s="24"/>
      <c r="J7" s="24"/>
      <c r="K7" s="24"/>
      <c r="L7" s="24"/>
      <c r="M7" s="24"/>
    </row>
    <row r="8" spans="1:13">
      <c r="A8" t="s">
        <v>292</v>
      </c>
      <c r="B8" t="s">
        <v>157</v>
      </c>
      <c r="C8" s="24">
        <f>60000*24</f>
        <v>1440000</v>
      </c>
      <c r="D8" s="24">
        <f t="shared" si="2"/>
        <v>1440000</v>
      </c>
      <c r="E8" s="11">
        <f t="shared" si="2"/>
        <v>1440000</v>
      </c>
      <c r="F8" s="11">
        <f t="shared" si="2"/>
        <v>1440000</v>
      </c>
      <c r="G8" s="11">
        <f t="shared" si="2"/>
        <v>1440000</v>
      </c>
      <c r="H8" s="1">
        <f t="shared" si="3"/>
        <v>7200000</v>
      </c>
      <c r="I8" s="11"/>
      <c r="J8" s="11"/>
      <c r="K8" s="11"/>
      <c r="L8" s="11"/>
    </row>
    <row r="9" spans="1:13">
      <c r="A9" t="s">
        <v>102</v>
      </c>
      <c r="B9" t="s">
        <v>158</v>
      </c>
      <c r="C9" s="28">
        <f>15000*24</f>
        <v>360000</v>
      </c>
      <c r="D9" s="11">
        <f t="shared" si="2"/>
        <v>360000</v>
      </c>
      <c r="E9" s="11">
        <f t="shared" si="2"/>
        <v>360000</v>
      </c>
      <c r="F9" s="11">
        <f t="shared" si="2"/>
        <v>360000</v>
      </c>
      <c r="G9" s="11">
        <f t="shared" si="2"/>
        <v>360000</v>
      </c>
      <c r="H9" s="1">
        <f t="shared" si="3"/>
        <v>1800000</v>
      </c>
      <c r="I9" s="11"/>
      <c r="J9" s="11"/>
      <c r="K9" s="11"/>
      <c r="L9" s="11"/>
    </row>
    <row r="10" spans="1:13">
      <c r="A10" t="s">
        <v>192</v>
      </c>
      <c r="B10" t="s">
        <v>156</v>
      </c>
      <c r="C10" s="24">
        <f>9*3500*24</f>
        <v>756000</v>
      </c>
      <c r="D10" s="11">
        <f t="shared" si="2"/>
        <v>756000</v>
      </c>
      <c r="E10" s="11">
        <f t="shared" si="2"/>
        <v>756000</v>
      </c>
      <c r="F10" s="11">
        <f>E10</f>
        <v>756000</v>
      </c>
      <c r="G10" s="11">
        <f t="shared" si="2"/>
        <v>756000</v>
      </c>
      <c r="H10" s="1">
        <f t="shared" si="3"/>
        <v>3780000</v>
      </c>
      <c r="I10" s="11"/>
      <c r="J10" s="11"/>
      <c r="K10" s="11"/>
      <c r="L10" s="11"/>
    </row>
    <row r="11" spans="1:13">
      <c r="A11" t="s">
        <v>82</v>
      </c>
      <c r="C11" s="85">
        <f>SUM(C7:C10)</f>
        <v>7164000</v>
      </c>
      <c r="D11" s="85">
        <f t="shared" ref="D11:H11" si="4">SUM(D7:D10)</f>
        <v>7164000</v>
      </c>
      <c r="E11" s="85">
        <f t="shared" si="4"/>
        <v>7164000</v>
      </c>
      <c r="F11" s="85">
        <f t="shared" si="4"/>
        <v>7164000</v>
      </c>
      <c r="G11" s="85">
        <f t="shared" si="4"/>
        <v>7164000</v>
      </c>
      <c r="H11" s="85">
        <f t="shared" si="4"/>
        <v>35820000</v>
      </c>
      <c r="I11" s="11"/>
      <c r="J11" s="11"/>
      <c r="K11" s="11"/>
      <c r="L11" s="11"/>
    </row>
    <row r="12" spans="1:13">
      <c r="A12" s="51" t="s">
        <v>81</v>
      </c>
      <c r="C12" s="86"/>
      <c r="D12" s="86"/>
      <c r="E12" s="86"/>
      <c r="F12" s="86"/>
      <c r="G12" s="86"/>
      <c r="H12" s="86"/>
      <c r="I12" s="11"/>
      <c r="J12" s="11"/>
      <c r="K12" s="11"/>
      <c r="L12" s="11"/>
    </row>
    <row r="13" spans="1:13">
      <c r="A13" t="s">
        <v>200</v>
      </c>
      <c r="B13" t="s">
        <v>164</v>
      </c>
      <c r="C13" s="28">
        <f>100000*24</f>
        <v>2400000</v>
      </c>
      <c r="D13" s="11">
        <f t="shared" si="2"/>
        <v>2400000</v>
      </c>
      <c r="E13" s="11">
        <f t="shared" si="2"/>
        <v>2400000</v>
      </c>
      <c r="F13" s="11">
        <f t="shared" si="2"/>
        <v>2400000</v>
      </c>
      <c r="G13" s="11">
        <f t="shared" si="2"/>
        <v>2400000</v>
      </c>
      <c r="H13" s="1">
        <f t="shared" si="3"/>
        <v>12000000</v>
      </c>
      <c r="I13" s="11"/>
      <c r="J13" s="11"/>
      <c r="K13" s="11"/>
      <c r="L13" s="11"/>
    </row>
    <row r="14" spans="1:13">
      <c r="A14" t="s">
        <v>117</v>
      </c>
      <c r="B14" t="s">
        <v>159</v>
      </c>
      <c r="C14" s="24">
        <f>15000*12</f>
        <v>180000</v>
      </c>
      <c r="D14" s="11">
        <f t="shared" si="2"/>
        <v>180000</v>
      </c>
      <c r="E14" s="11">
        <f t="shared" si="2"/>
        <v>180000</v>
      </c>
      <c r="F14" s="11">
        <f t="shared" si="2"/>
        <v>180000</v>
      </c>
      <c r="G14" s="11">
        <f t="shared" si="2"/>
        <v>180000</v>
      </c>
      <c r="H14" s="1">
        <f t="shared" si="3"/>
        <v>900000</v>
      </c>
      <c r="I14" s="11"/>
      <c r="J14" s="11"/>
      <c r="K14" s="11"/>
      <c r="L14" s="11"/>
    </row>
    <row r="15" spans="1:13">
      <c r="A15" t="s">
        <v>168</v>
      </c>
      <c r="B15" t="s">
        <v>170</v>
      </c>
      <c r="C15" s="24">
        <f>354.167*24</f>
        <v>8500.0079999999998</v>
      </c>
      <c r="D15" s="11">
        <f t="shared" si="2"/>
        <v>8500.0079999999998</v>
      </c>
      <c r="E15" s="11">
        <f t="shared" si="2"/>
        <v>8500.0079999999998</v>
      </c>
      <c r="F15" s="11">
        <f t="shared" si="2"/>
        <v>8500.0079999999998</v>
      </c>
      <c r="G15" s="11">
        <f t="shared" si="2"/>
        <v>8500.0079999999998</v>
      </c>
      <c r="H15" s="1">
        <f t="shared" si="3"/>
        <v>42500.04</v>
      </c>
      <c r="I15" s="11"/>
      <c r="J15" s="11"/>
      <c r="K15" s="11"/>
      <c r="L15" s="11"/>
    </row>
    <row r="16" spans="1:13">
      <c r="A16" t="s">
        <v>169</v>
      </c>
      <c r="B16" t="s">
        <v>32</v>
      </c>
      <c r="C16" s="24">
        <f>1250*24</f>
        <v>30000</v>
      </c>
      <c r="D16" s="11">
        <f t="shared" si="2"/>
        <v>30000</v>
      </c>
      <c r="E16" s="11">
        <f t="shared" si="2"/>
        <v>30000</v>
      </c>
      <c r="F16" s="11"/>
      <c r="G16" s="11"/>
      <c r="H16" s="1">
        <f t="shared" si="3"/>
        <v>90000</v>
      </c>
      <c r="I16" s="11"/>
      <c r="J16" s="13"/>
      <c r="K16" s="11"/>
      <c r="L16" s="11"/>
    </row>
    <row r="17" spans="1:14">
      <c r="A17" t="s">
        <v>177</v>
      </c>
      <c r="C17" s="12">
        <f>Interest!G5</f>
        <v>130800</v>
      </c>
      <c r="D17" s="12">
        <f>Interest!G6</f>
        <v>92400</v>
      </c>
      <c r="E17" s="12">
        <f>Interest!G7</f>
        <v>54000</v>
      </c>
      <c r="F17" s="12">
        <f>Interest!G8</f>
        <v>17400</v>
      </c>
      <c r="G17">
        <v>0</v>
      </c>
      <c r="H17" s="26">
        <f>SUM(B17:F17)</f>
        <v>294600</v>
      </c>
      <c r="I17" s="11"/>
      <c r="J17" s="11"/>
      <c r="K17" s="11"/>
      <c r="L17" s="11"/>
    </row>
    <row r="18" spans="1:14">
      <c r="A18" t="s">
        <v>82</v>
      </c>
      <c r="C18" s="119">
        <f>SUM(C13:C17)</f>
        <v>2749300.0079999999</v>
      </c>
      <c r="D18" s="119">
        <f t="shared" ref="D18:H18" si="5">SUM(D13:D17)</f>
        <v>2710900.0079999999</v>
      </c>
      <c r="E18" s="119">
        <f t="shared" si="5"/>
        <v>2672500.0079999999</v>
      </c>
      <c r="F18" s="119">
        <f t="shared" si="5"/>
        <v>2605900.0079999999</v>
      </c>
      <c r="G18" s="119">
        <f t="shared" si="5"/>
        <v>2588500.0079999999</v>
      </c>
      <c r="H18" s="119">
        <f t="shared" si="5"/>
        <v>13327100.039999999</v>
      </c>
      <c r="I18" s="11"/>
      <c r="J18" s="11"/>
      <c r="K18" s="11"/>
      <c r="L18" s="11"/>
    </row>
    <row r="19" spans="1:14">
      <c r="C19" s="24"/>
      <c r="D19" s="24"/>
      <c r="E19" s="24"/>
      <c r="F19" s="24"/>
      <c r="G19" s="110"/>
      <c r="H19" s="29"/>
      <c r="I19" s="11"/>
      <c r="J19" s="11"/>
      <c r="K19" s="11"/>
      <c r="L19" s="11"/>
    </row>
    <row r="20" spans="1:14">
      <c r="A20" s="4" t="s">
        <v>330</v>
      </c>
      <c r="B20" s="4"/>
      <c r="C20" s="77">
        <f>C11+C18</f>
        <v>9913300.0079999994</v>
      </c>
      <c r="D20" s="77">
        <f t="shared" ref="D20:H20" si="6">D11+D18</f>
        <v>9874900.0079999994</v>
      </c>
      <c r="E20" s="77">
        <f t="shared" si="6"/>
        <v>9836500.0079999994</v>
      </c>
      <c r="F20" s="77">
        <f t="shared" si="6"/>
        <v>9769900.0079999994</v>
      </c>
      <c r="G20" s="77">
        <f t="shared" si="6"/>
        <v>9752500.0079999994</v>
      </c>
      <c r="H20" s="77">
        <f t="shared" si="6"/>
        <v>49147100.039999999</v>
      </c>
      <c r="I20" s="11"/>
      <c r="J20" s="11"/>
      <c r="K20" s="11"/>
      <c r="L20" s="11"/>
    </row>
    <row r="21" spans="1:14">
      <c r="C21" s="11"/>
      <c r="D21" s="11"/>
      <c r="E21" s="11"/>
      <c r="F21" s="11"/>
      <c r="G21" s="11"/>
      <c r="H21" s="8"/>
      <c r="I21" s="11"/>
      <c r="J21" s="11"/>
      <c r="K21" s="11"/>
    </row>
    <row r="22" spans="1:14">
      <c r="A22" s="4" t="s">
        <v>338</v>
      </c>
      <c r="B22" s="4"/>
      <c r="C22" s="24">
        <f t="shared" ref="C22:H22" si="7">C5-C20</f>
        <v>1799299.9920000006</v>
      </c>
      <c r="D22" s="24">
        <f t="shared" si="7"/>
        <v>1837699.9920000006</v>
      </c>
      <c r="E22" s="24">
        <f t="shared" si="7"/>
        <v>1876099.9920000006</v>
      </c>
      <c r="F22" s="24">
        <f t="shared" si="7"/>
        <v>1942699.9920000006</v>
      </c>
      <c r="G22" s="24">
        <f t="shared" si="7"/>
        <v>1960099.9920000006</v>
      </c>
      <c r="H22" s="24">
        <f t="shared" si="7"/>
        <v>9415899.9600000009</v>
      </c>
      <c r="I22" s="24"/>
      <c r="J22" s="24"/>
      <c r="K22" s="24"/>
      <c r="L22" s="24"/>
      <c r="M22" s="25"/>
      <c r="N22" s="25"/>
    </row>
    <row r="23" spans="1:14">
      <c r="A23" t="s">
        <v>39</v>
      </c>
      <c r="C23" s="11">
        <f>C22*0.3</f>
        <v>539789.99760000012</v>
      </c>
      <c r="D23" s="11">
        <f t="shared" ref="D23:H23" si="8">D22*0.3</f>
        <v>551309.99760000012</v>
      </c>
      <c r="E23" s="11">
        <f t="shared" si="8"/>
        <v>562829.99760000012</v>
      </c>
      <c r="F23" s="11">
        <f t="shared" si="8"/>
        <v>582809.99760000012</v>
      </c>
      <c r="G23" s="11">
        <f t="shared" si="8"/>
        <v>588029.99760000012</v>
      </c>
      <c r="H23" s="11">
        <f t="shared" si="8"/>
        <v>2824769.9880000004</v>
      </c>
      <c r="I23" s="11"/>
      <c r="J23" s="11"/>
      <c r="K23" s="11"/>
      <c r="M23" s="11"/>
    </row>
    <row r="24" spans="1:14" ht="15" thickBot="1">
      <c r="A24" s="4" t="s">
        <v>208</v>
      </c>
      <c r="C24" s="78">
        <f>C22-C23</f>
        <v>1259509.9944000004</v>
      </c>
      <c r="D24" s="78">
        <f t="shared" ref="D24:H24" si="9">D22-D23</f>
        <v>1286389.9944000004</v>
      </c>
      <c r="E24" s="78">
        <f t="shared" si="9"/>
        <v>1313269.9944000004</v>
      </c>
      <c r="F24" s="78">
        <f t="shared" si="9"/>
        <v>1359889.9944000004</v>
      </c>
      <c r="G24" s="78">
        <f t="shared" si="9"/>
        <v>1372069.9944000004</v>
      </c>
      <c r="H24" s="78">
        <f t="shared" si="9"/>
        <v>6591129.972000001</v>
      </c>
      <c r="I24" s="11"/>
      <c r="J24" s="11"/>
      <c r="K24" s="11"/>
    </row>
    <row r="25" spans="1:14" ht="15" thickTop="1">
      <c r="A25" s="4"/>
      <c r="C25" s="97"/>
      <c r="D25" s="97"/>
      <c r="E25" s="97"/>
      <c r="F25" s="97"/>
      <c r="G25" s="97"/>
      <c r="H25" s="97"/>
      <c r="I25" s="11"/>
      <c r="J25" s="11"/>
      <c r="K25" s="11"/>
    </row>
    <row r="26" spans="1:14">
      <c r="A26" s="50" t="s">
        <v>123</v>
      </c>
      <c r="C26" s="11"/>
      <c r="D26" s="11"/>
      <c r="E26" s="11"/>
      <c r="F26" s="11"/>
      <c r="G26" s="11"/>
      <c r="H26" s="8"/>
      <c r="I26" s="11"/>
      <c r="J26" s="11"/>
      <c r="K26" s="11"/>
      <c r="L26" s="11"/>
    </row>
    <row r="27" spans="1:14">
      <c r="C27" s="11"/>
      <c r="D27" s="11"/>
      <c r="E27" s="11"/>
      <c r="F27" s="11"/>
      <c r="G27" s="11"/>
      <c r="H27" s="8"/>
      <c r="I27" s="11"/>
      <c r="J27" s="11"/>
      <c r="K27" s="11"/>
      <c r="L27" s="11"/>
    </row>
    <row r="28" spans="1:14">
      <c r="A28" t="s">
        <v>78</v>
      </c>
      <c r="B28" s="1"/>
      <c r="C28" s="8">
        <f>'BS 2006-07'!G23+'BS 2006-07'!G24</f>
        <v>7071000</v>
      </c>
      <c r="D28" s="8">
        <f>C29</f>
        <v>8330509.9944000002</v>
      </c>
      <c r="E28" s="8">
        <f>D29</f>
        <v>9616899.9888000004</v>
      </c>
      <c r="F28" s="8">
        <f>E29</f>
        <v>10930169.983200001</v>
      </c>
      <c r="G28" s="8">
        <f>F29</f>
        <v>12290059.977600001</v>
      </c>
      <c r="H28" s="8">
        <f>C28</f>
        <v>7071000</v>
      </c>
      <c r="I28" s="11"/>
      <c r="J28" s="11"/>
      <c r="K28" s="11"/>
      <c r="L28" s="11"/>
    </row>
    <row r="29" spans="1:14" ht="15" thickBot="1">
      <c r="A29" t="s">
        <v>79</v>
      </c>
      <c r="C29" s="80">
        <f>C28+C24</f>
        <v>8330509.9944000002</v>
      </c>
      <c r="D29" s="80">
        <f t="shared" ref="D29:H29" si="10">D28+D24</f>
        <v>9616899.9888000004</v>
      </c>
      <c r="E29" s="80">
        <f t="shared" si="10"/>
        <v>10930169.983200001</v>
      </c>
      <c r="F29" s="80">
        <f t="shared" si="10"/>
        <v>12290059.977600001</v>
      </c>
      <c r="G29" s="80">
        <f t="shared" si="10"/>
        <v>13662129.972000001</v>
      </c>
      <c r="H29" s="80">
        <f t="shared" si="10"/>
        <v>13662129.972000001</v>
      </c>
      <c r="I29" s="11"/>
      <c r="J29" s="11"/>
      <c r="K29" s="11"/>
      <c r="L29" s="11"/>
    </row>
    <row r="30" spans="1:14" ht="15" thickTop="1">
      <c r="C30" s="11"/>
      <c r="D30" s="11"/>
      <c r="E30" s="11"/>
      <c r="F30" s="11"/>
      <c r="G30" s="11"/>
      <c r="H30" s="8"/>
      <c r="I30" s="11"/>
      <c r="J30" s="11"/>
      <c r="K30" s="11"/>
      <c r="L30" s="11"/>
    </row>
    <row r="31" spans="1:14">
      <c r="C31" s="11"/>
      <c r="D31" s="11"/>
      <c r="E31" s="11"/>
      <c r="F31" s="11"/>
      <c r="G31" s="11"/>
      <c r="H31" s="8"/>
      <c r="I31" s="11"/>
      <c r="J31" s="11"/>
      <c r="K31" s="11"/>
      <c r="L31" s="11"/>
    </row>
    <row r="32" spans="1:14">
      <c r="C32" s="11"/>
      <c r="D32" s="11"/>
      <c r="E32" s="11"/>
      <c r="F32" s="11"/>
      <c r="G32" s="11"/>
      <c r="H32" s="8"/>
      <c r="I32" s="11"/>
      <c r="J32" s="11"/>
      <c r="K32" s="11"/>
      <c r="L32" s="11"/>
    </row>
    <row r="33" spans="1:12">
      <c r="C33" s="11"/>
      <c r="D33" s="11"/>
      <c r="E33" s="11"/>
      <c r="F33" s="11"/>
      <c r="G33" s="11"/>
      <c r="H33" s="8"/>
      <c r="I33" s="11"/>
      <c r="J33" s="11"/>
      <c r="K33" s="11"/>
      <c r="L33" s="11"/>
    </row>
    <row r="34" spans="1:12">
      <c r="A34" s="4"/>
      <c r="C34" s="11"/>
      <c r="D34" s="11"/>
      <c r="E34" s="11"/>
      <c r="F34" s="11"/>
      <c r="G34" s="11"/>
      <c r="H34" s="8"/>
      <c r="I34" s="11"/>
      <c r="J34" s="11"/>
      <c r="K34" s="11"/>
      <c r="L34" s="11"/>
    </row>
    <row r="35" spans="1:12">
      <c r="A35" s="51" t="s">
        <v>86</v>
      </c>
      <c r="C35" s="104"/>
      <c r="H35" s="1"/>
    </row>
    <row r="36" spans="1:12">
      <c r="A36" t="s">
        <v>80</v>
      </c>
      <c r="C36" s="83">
        <f>C24/(0.5*(B28+C28))</f>
        <v>0.35624663962664416</v>
      </c>
      <c r="D36" s="83">
        <f t="shared" ref="D36:G36" si="11">D24/(0.5*(C28+D28))</f>
        <v>0.16704725638820256</v>
      </c>
      <c r="E36" s="83">
        <f t="shared" si="11"/>
        <v>0.1463464639888776</v>
      </c>
      <c r="F36" s="83">
        <f t="shared" si="11"/>
        <v>0.13236826430757825</v>
      </c>
      <c r="G36" s="83">
        <f t="shared" si="11"/>
        <v>0.11817884635219426</v>
      </c>
      <c r="H36" s="88"/>
    </row>
    <row r="37" spans="1:12">
      <c r="A37" t="s">
        <v>228</v>
      </c>
      <c r="C37" s="92">
        <f>C5</f>
        <v>11712600</v>
      </c>
      <c r="D37" s="92">
        <f>D5</f>
        <v>11712600</v>
      </c>
      <c r="E37" s="92">
        <f>E5</f>
        <v>11712600</v>
      </c>
      <c r="F37" s="92">
        <f>F5</f>
        <v>11712600</v>
      </c>
      <c r="G37" s="92">
        <f>G5</f>
        <v>11712600</v>
      </c>
      <c r="H37" s="1"/>
    </row>
    <row r="38" spans="1:12">
      <c r="A38" t="s">
        <v>229</v>
      </c>
      <c r="C38" s="13">
        <f>C4</f>
        <v>488025</v>
      </c>
      <c r="D38" s="13">
        <f>D4</f>
        <v>488025</v>
      </c>
      <c r="E38" s="13">
        <f>E4</f>
        <v>488025</v>
      </c>
      <c r="F38" s="13">
        <f>F4</f>
        <v>488025</v>
      </c>
      <c r="G38" s="13">
        <f>G4</f>
        <v>488025</v>
      </c>
      <c r="H38" s="1"/>
    </row>
    <row r="39" spans="1:12">
      <c r="A39" t="s">
        <v>230</v>
      </c>
      <c r="C39" s="13">
        <f>C20/C3</f>
        <v>413054.16699999996</v>
      </c>
      <c r="D39" s="13">
        <f>D20/D3</f>
        <v>411454.16699999996</v>
      </c>
      <c r="E39" s="13">
        <f>E20/E3</f>
        <v>409854.16699999996</v>
      </c>
      <c r="F39" s="13">
        <f>F20/F3</f>
        <v>407079.16699999996</v>
      </c>
      <c r="G39" s="13">
        <f>G20/G3</f>
        <v>406354.16699999996</v>
      </c>
      <c r="H39" s="1"/>
    </row>
    <row r="40" spans="1:12">
      <c r="A40" t="s">
        <v>232</v>
      </c>
      <c r="C40" s="13">
        <f>C11/C3</f>
        <v>298500</v>
      </c>
      <c r="D40" s="13">
        <f t="shared" ref="D40:G40" si="12">D11/D3</f>
        <v>298500</v>
      </c>
      <c r="E40" s="13">
        <f t="shared" si="12"/>
        <v>298500</v>
      </c>
      <c r="F40" s="13">
        <f t="shared" si="12"/>
        <v>298500</v>
      </c>
      <c r="G40" s="13">
        <f t="shared" si="12"/>
        <v>298500</v>
      </c>
      <c r="H40" s="1"/>
    </row>
    <row r="41" spans="1:12">
      <c r="A41" t="s">
        <v>231</v>
      </c>
      <c r="C41" s="13">
        <f>C18/C3</f>
        <v>114554.167</v>
      </c>
      <c r="D41" s="13">
        <f>D18/D3</f>
        <v>112954.167</v>
      </c>
      <c r="E41" s="13">
        <f t="shared" ref="E41:G41" si="13">E18/E3</f>
        <v>111354.167</v>
      </c>
      <c r="F41" s="13">
        <f t="shared" si="13"/>
        <v>108579.167</v>
      </c>
      <c r="G41" s="13">
        <f t="shared" si="13"/>
        <v>107854.167</v>
      </c>
      <c r="H41" s="13"/>
      <c r="I41" s="13"/>
    </row>
    <row r="42" spans="1:12">
      <c r="A42" s="14" t="s">
        <v>84</v>
      </c>
      <c r="C42" s="96">
        <f>(C38-C39)/C39</f>
        <v>0.1815036355752345</v>
      </c>
      <c r="D42" s="96">
        <f t="shared" ref="D42:G42" si="14">(D38-D39)/D39</f>
        <v>0.18609808610833695</v>
      </c>
      <c r="E42" s="96">
        <f t="shared" si="14"/>
        <v>0.19072840852683109</v>
      </c>
      <c r="F42" s="96">
        <f t="shared" si="14"/>
        <v>0.1988454324414004</v>
      </c>
      <c r="G42" s="96">
        <f t="shared" si="14"/>
        <v>0.20098436199867997</v>
      </c>
    </row>
    <row r="43" spans="1:12">
      <c r="A43" t="s">
        <v>234</v>
      </c>
      <c r="C43" s="96">
        <f>(C38-C40)/C40</f>
        <v>0.63492462311557785</v>
      </c>
      <c r="D43" s="96">
        <f t="shared" ref="D43:G43" si="15">(D38-D40)/D40</f>
        <v>0.63492462311557785</v>
      </c>
      <c r="E43" s="96">
        <f t="shared" si="15"/>
        <v>0.63492462311557785</v>
      </c>
      <c r="F43" s="96">
        <f t="shared" si="15"/>
        <v>0.63492462311557785</v>
      </c>
      <c r="G43" s="96">
        <f t="shared" si="15"/>
        <v>0.63492462311557785</v>
      </c>
    </row>
    <row r="44" spans="1:12">
      <c r="A44" s="34" t="s">
        <v>235</v>
      </c>
      <c r="C44">
        <v>24</v>
      </c>
      <c r="D44">
        <v>24</v>
      </c>
      <c r="E44">
        <v>24</v>
      </c>
      <c r="F44">
        <v>24</v>
      </c>
      <c r="G44">
        <v>24</v>
      </c>
    </row>
    <row r="45" spans="1:12">
      <c r="A45" s="34" t="s">
        <v>236</v>
      </c>
      <c r="C45" s="13">
        <f>C7/C3</f>
        <v>192000</v>
      </c>
      <c r="D45" s="13">
        <f>D7/D3</f>
        <v>192000</v>
      </c>
      <c r="E45" s="13">
        <f>E7/E3</f>
        <v>192000</v>
      </c>
      <c r="F45" s="13">
        <f>F7/F3</f>
        <v>192000</v>
      </c>
      <c r="G45" s="13">
        <f>G7/G3</f>
        <v>192000</v>
      </c>
    </row>
    <row r="46" spans="1:12">
      <c r="A46" s="34" t="s">
        <v>237</v>
      </c>
      <c r="C46" s="1">
        <f>(('Unit cost and price'!D9/1000)+'5 Yr IS Projections (8)'!C10+'5 Yr IS Projections (8)'!C9)/C3</f>
        <v>46586.805555555562</v>
      </c>
      <c r="D46" s="1">
        <f>(('Unit cost and price'!E9/1000)+'5 Yr IS Projections (8)'!D10+'5 Yr IS Projections (8)'!D9)/D3</f>
        <v>46500</v>
      </c>
      <c r="E46" s="1">
        <f>(('Unit cost and price'!F9/1000)+'5 Yr IS Projections (8)'!E10+'5 Yr IS Projections (8)'!E9)/E3</f>
        <v>46500</v>
      </c>
      <c r="F46" s="1">
        <f>(('Unit cost and price'!G9/1000)+'5 Yr IS Projections (8)'!F10+'5 Yr IS Projections (8)'!F9)/F3</f>
        <v>46500</v>
      </c>
      <c r="G46" s="1">
        <f>(('Unit cost and price'!H9/1000)+'5 Yr IS Projections (8)'!G10+'5 Yr IS Projections (8)'!G9)/G3</f>
        <v>46500</v>
      </c>
    </row>
    <row r="47" spans="1:12">
      <c r="A47" s="34" t="s">
        <v>238</v>
      </c>
      <c r="C47" s="13">
        <f>C8/C3</f>
        <v>60000</v>
      </c>
      <c r="D47" s="13">
        <f>D8/D3</f>
        <v>60000</v>
      </c>
      <c r="E47" s="13">
        <f>E8/E3</f>
        <v>60000</v>
      </c>
      <c r="F47" s="13">
        <f>F8/F3</f>
        <v>60000</v>
      </c>
      <c r="G47" s="13">
        <f>G8/G3</f>
        <v>60000</v>
      </c>
    </row>
    <row r="48" spans="1:12">
      <c r="A48" s="34" t="s">
        <v>239</v>
      </c>
      <c r="C48">
        <f>C37/C47</f>
        <v>195.21</v>
      </c>
      <c r="D48">
        <f t="shared" ref="D48:G48" si="16">D37/D47</f>
        <v>195.21</v>
      </c>
      <c r="E48">
        <f t="shared" si="16"/>
        <v>195.21</v>
      </c>
      <c r="F48">
        <f t="shared" si="16"/>
        <v>195.21</v>
      </c>
      <c r="G48">
        <f t="shared" si="16"/>
        <v>195.21</v>
      </c>
    </row>
    <row r="52" spans="7:7">
      <c r="G52" s="21">
        <f>B28/750000</f>
        <v>0</v>
      </c>
    </row>
  </sheetData>
  <mergeCells count="1">
    <mergeCell ref="C1:H1"/>
  </mergeCell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33"/>
  <sheetViews>
    <sheetView topLeftCell="A14" workbookViewId="0">
      <selection activeCell="G35" sqref="G35"/>
    </sheetView>
  </sheetViews>
  <sheetFormatPr baseColWidth="10" defaultColWidth="8.83203125" defaultRowHeight="14"/>
  <cols>
    <col min="1" max="1" width="38.5" customWidth="1"/>
    <col min="2" max="2" width="35.33203125" customWidth="1"/>
    <col min="3" max="3" width="11.83203125" bestFit="1" customWidth="1"/>
    <col min="4" max="4" width="17.6640625" bestFit="1" customWidth="1"/>
    <col min="5" max="5" width="11.5" customWidth="1"/>
    <col min="6" max="6" width="12" customWidth="1"/>
    <col min="7" max="7" width="12.83203125" customWidth="1"/>
    <col min="8" max="8" width="11.5" customWidth="1"/>
    <col min="9" max="9" width="15.33203125" customWidth="1"/>
    <col min="10" max="10" width="10.6640625" customWidth="1"/>
  </cols>
  <sheetData>
    <row r="1" spans="1:13" ht="18">
      <c r="C1" s="126" t="s">
        <v>40</v>
      </c>
      <c r="D1" s="126"/>
      <c r="E1" s="126"/>
      <c r="F1" s="126"/>
      <c r="G1" s="126"/>
      <c r="H1" s="126"/>
    </row>
    <row r="3" spans="1:13">
      <c r="A3" t="s">
        <v>264</v>
      </c>
      <c r="B3" t="s">
        <v>174</v>
      </c>
      <c r="C3" s="45">
        <v>1</v>
      </c>
      <c r="D3" s="45">
        <v>2</v>
      </c>
      <c r="E3" s="45">
        <v>3</v>
      </c>
      <c r="F3" s="45">
        <v>4</v>
      </c>
      <c r="G3" s="45">
        <v>5</v>
      </c>
      <c r="H3" s="45" t="s">
        <v>196</v>
      </c>
      <c r="I3" s="11"/>
      <c r="J3" s="11"/>
      <c r="K3" s="11"/>
      <c r="L3" s="11"/>
    </row>
    <row r="4" spans="1:13" hidden="1">
      <c r="A4" t="s">
        <v>108</v>
      </c>
      <c r="B4">
        <v>0</v>
      </c>
      <c r="C4">
        <v>24</v>
      </c>
      <c r="D4">
        <v>24</v>
      </c>
      <c r="E4">
        <v>24</v>
      </c>
      <c r="F4">
        <v>24</v>
      </c>
      <c r="G4">
        <v>24</v>
      </c>
      <c r="H4">
        <f>SUM(C4:G4)</f>
        <v>120</v>
      </c>
      <c r="I4" s="11"/>
      <c r="J4" s="11"/>
      <c r="K4" s="11"/>
      <c r="L4" s="11"/>
      <c r="M4" s="11"/>
    </row>
    <row r="5" spans="1:13" hidden="1">
      <c r="A5" t="s">
        <v>165</v>
      </c>
      <c r="C5" s="8">
        <v>450000</v>
      </c>
      <c r="D5" s="8">
        <f>C5</f>
        <v>450000</v>
      </c>
      <c r="E5" s="8">
        <f t="shared" ref="E5:G5" si="0">D5</f>
        <v>450000</v>
      </c>
      <c r="F5" s="8">
        <f t="shared" si="0"/>
        <v>450000</v>
      </c>
      <c r="G5" s="8">
        <f t="shared" si="0"/>
        <v>450000</v>
      </c>
      <c r="H5" s="1"/>
      <c r="I5" s="8"/>
      <c r="J5" s="11"/>
      <c r="K5" s="11"/>
      <c r="L5" s="11"/>
    </row>
    <row r="6" spans="1:13">
      <c r="A6" t="s">
        <v>179</v>
      </c>
      <c r="B6" s="19"/>
      <c r="C6" s="79">
        <f>'Year 1 CF Projection'!Q7</f>
        <v>9000000</v>
      </c>
      <c r="D6" s="79">
        <f>'5 Yr IS Projections'!C5*2/12+'5 Yr IS Projections'!D5*10/12</f>
        <v>10800000</v>
      </c>
      <c r="E6" s="79">
        <f>'5 Yr IS Projections'!D5*2/12+'5 Yr IS Projections'!E5*10/12</f>
        <v>10800000</v>
      </c>
      <c r="F6" s="79">
        <f>'5 Yr IS Projections'!E5*2/12+'5 Yr IS Projections'!F5*10/12</f>
        <v>10800000</v>
      </c>
      <c r="G6" s="79">
        <f>'5 Yr IS Projections'!F5*2/12+'5 Yr IS Projections'!G5*10/12</f>
        <v>10800000</v>
      </c>
      <c r="H6" s="66">
        <f t="shared" ref="H6:H27" si="1">SUM(C6:G6)</f>
        <v>52200000</v>
      </c>
      <c r="I6" s="8"/>
      <c r="J6" s="11"/>
      <c r="K6" s="11"/>
      <c r="L6" s="11"/>
    </row>
    <row r="7" spans="1:13">
      <c r="A7" t="s">
        <v>282</v>
      </c>
      <c r="C7" s="8">
        <f>'Year 1 CF Projection'!Q8</f>
        <v>0</v>
      </c>
      <c r="D7" s="1"/>
      <c r="E7" s="1"/>
      <c r="F7" s="1"/>
      <c r="G7" s="1"/>
      <c r="H7" s="1">
        <f t="shared" si="1"/>
        <v>0</v>
      </c>
      <c r="I7" s="1"/>
      <c r="J7" s="15"/>
      <c r="K7" s="15"/>
      <c r="L7" s="15"/>
    </row>
    <row r="8" spans="1:13">
      <c r="A8" t="s">
        <v>180</v>
      </c>
      <c r="C8" s="8">
        <f>'Year 1 CF Projection'!Q9</f>
        <v>0</v>
      </c>
      <c r="D8" s="8"/>
      <c r="E8" s="8"/>
      <c r="F8" s="8"/>
      <c r="G8" s="8"/>
      <c r="H8" s="1">
        <f t="shared" si="1"/>
        <v>0</v>
      </c>
      <c r="I8" s="8"/>
      <c r="J8" s="11"/>
      <c r="K8" s="11"/>
      <c r="L8" s="11"/>
    </row>
    <row r="9" spans="1:13" ht="15" thickBot="1">
      <c r="A9" s="18" t="s">
        <v>21</v>
      </c>
      <c r="B9" s="18"/>
      <c r="C9" s="89">
        <f t="shared" ref="C9:G9" si="2">SUM(C6:C8)</f>
        <v>9000000</v>
      </c>
      <c r="D9" s="89">
        <f t="shared" si="2"/>
        <v>10800000</v>
      </c>
      <c r="E9" s="89">
        <f t="shared" si="2"/>
        <v>10800000</v>
      </c>
      <c r="F9" s="89">
        <f t="shared" si="2"/>
        <v>10800000</v>
      </c>
      <c r="G9" s="89">
        <f t="shared" si="2"/>
        <v>10800000</v>
      </c>
      <c r="H9" s="47">
        <f t="shared" si="1"/>
        <v>52200000</v>
      </c>
      <c r="I9" s="8"/>
      <c r="J9" s="11"/>
      <c r="K9" s="11"/>
      <c r="L9" s="11"/>
    </row>
    <row r="10" spans="1:13" ht="15" thickTop="1">
      <c r="A10" t="s">
        <v>22</v>
      </c>
      <c r="C10" s="8"/>
      <c r="D10" s="8"/>
      <c r="E10" s="8"/>
      <c r="F10" s="8"/>
      <c r="G10" s="8"/>
      <c r="H10" s="1"/>
      <c r="I10" s="8"/>
      <c r="J10" s="11"/>
      <c r="K10" s="11"/>
      <c r="L10" s="11"/>
    </row>
    <row r="11" spans="1:13">
      <c r="A11" t="s">
        <v>33</v>
      </c>
      <c r="C11" s="1">
        <f>'Year 1 CF Projection'!Q12</f>
        <v>500000</v>
      </c>
      <c r="D11" s="1"/>
      <c r="E11" s="1"/>
      <c r="F11" s="1"/>
      <c r="G11" s="1"/>
      <c r="H11" s="1">
        <f t="shared" si="1"/>
        <v>500000</v>
      </c>
      <c r="I11" s="1"/>
    </row>
    <row r="12" spans="1:13">
      <c r="A12" t="s">
        <v>34</v>
      </c>
      <c r="C12" s="1">
        <f>'Year 1 CF Projection'!Q13</f>
        <v>520000</v>
      </c>
      <c r="D12" s="1"/>
      <c r="E12" s="1"/>
      <c r="F12" s="1"/>
      <c r="G12" s="1"/>
      <c r="H12" s="1">
        <f t="shared" si="1"/>
        <v>520000</v>
      </c>
      <c r="I12" s="1"/>
    </row>
    <row r="13" spans="1:13">
      <c r="A13" t="s">
        <v>100</v>
      </c>
      <c r="C13" s="1">
        <f>'Year 1 CF Projection'!Q14</f>
        <v>90000</v>
      </c>
      <c r="D13" s="1"/>
      <c r="E13" s="1"/>
      <c r="F13" s="1"/>
      <c r="G13" s="1"/>
      <c r="H13" s="1">
        <f t="shared" si="1"/>
        <v>90000</v>
      </c>
      <c r="I13" s="1"/>
    </row>
    <row r="14" spans="1:13">
      <c r="A14" t="s">
        <v>99</v>
      </c>
      <c r="B14" t="s">
        <v>172</v>
      </c>
      <c r="C14" s="1">
        <f>'Year 1 CF Projection'!Q15</f>
        <v>4608000</v>
      </c>
      <c r="D14" s="1">
        <f>C14</f>
        <v>4608000</v>
      </c>
      <c r="E14" s="1">
        <f t="shared" ref="E14:G14" si="3">D14</f>
        <v>4608000</v>
      </c>
      <c r="F14" s="1">
        <f t="shared" si="3"/>
        <v>4608000</v>
      </c>
      <c r="G14" s="1">
        <f t="shared" si="3"/>
        <v>4608000</v>
      </c>
      <c r="H14" s="1">
        <f t="shared" si="1"/>
        <v>23040000</v>
      </c>
      <c r="I14" s="1"/>
    </row>
    <row r="15" spans="1:13">
      <c r="A15" t="s">
        <v>292</v>
      </c>
      <c r="B15" t="s">
        <v>157</v>
      </c>
      <c r="C15" s="1">
        <f>'Year 1 CF Projection'!Q16</f>
        <v>1440000</v>
      </c>
      <c r="D15" s="1">
        <f t="shared" ref="D15:G22" si="4">C15</f>
        <v>1440000</v>
      </c>
      <c r="E15" s="1">
        <f t="shared" si="4"/>
        <v>1440000</v>
      </c>
      <c r="F15" s="1">
        <f t="shared" si="4"/>
        <v>1440000</v>
      </c>
      <c r="G15" s="1">
        <f t="shared" si="4"/>
        <v>1440000</v>
      </c>
      <c r="H15" s="1">
        <f t="shared" si="1"/>
        <v>7200000</v>
      </c>
      <c r="I15" s="1"/>
    </row>
    <row r="16" spans="1:13">
      <c r="A16" t="s">
        <v>102</v>
      </c>
      <c r="B16" t="s">
        <v>158</v>
      </c>
      <c r="C16" s="1">
        <f>'Year 1 CF Projection'!Q17</f>
        <v>288000</v>
      </c>
      <c r="D16" s="1">
        <f t="shared" si="4"/>
        <v>288000</v>
      </c>
      <c r="E16" s="1">
        <f t="shared" si="4"/>
        <v>288000</v>
      </c>
      <c r="F16" s="1">
        <f t="shared" si="4"/>
        <v>288000</v>
      </c>
      <c r="G16" s="1">
        <f t="shared" si="4"/>
        <v>288000</v>
      </c>
      <c r="H16" s="1">
        <f t="shared" si="1"/>
        <v>1440000</v>
      </c>
      <c r="I16" s="1"/>
    </row>
    <row r="17" spans="1:13">
      <c r="A17" t="s">
        <v>192</v>
      </c>
      <c r="B17" t="s">
        <v>156</v>
      </c>
      <c r="C17" s="1">
        <f>'Year 1 CF Projection'!Q18</f>
        <v>756000</v>
      </c>
      <c r="D17" s="1">
        <f t="shared" si="4"/>
        <v>756000</v>
      </c>
      <c r="E17" s="1">
        <f t="shared" si="4"/>
        <v>756000</v>
      </c>
      <c r="F17" s="1">
        <f t="shared" si="4"/>
        <v>756000</v>
      </c>
      <c r="G17" s="1">
        <f t="shared" si="4"/>
        <v>756000</v>
      </c>
      <c r="H17" s="1">
        <f t="shared" si="1"/>
        <v>3780000</v>
      </c>
      <c r="I17" s="1"/>
    </row>
    <row r="18" spans="1:13">
      <c r="A18" t="s">
        <v>200</v>
      </c>
      <c r="B18" t="s">
        <v>164</v>
      </c>
      <c r="C18" s="1">
        <f>'Year 1 CF Projection'!Q19</f>
        <v>2400000</v>
      </c>
      <c r="D18" s="1">
        <f t="shared" si="4"/>
        <v>2400000</v>
      </c>
      <c r="E18" s="1">
        <f t="shared" si="4"/>
        <v>2400000</v>
      </c>
      <c r="F18" s="1">
        <f t="shared" si="4"/>
        <v>2400000</v>
      </c>
      <c r="G18" s="1">
        <f t="shared" si="4"/>
        <v>2400000</v>
      </c>
      <c r="H18" s="1">
        <f t="shared" si="1"/>
        <v>12000000</v>
      </c>
      <c r="I18" s="1"/>
    </row>
    <row r="19" spans="1:13">
      <c r="A19" t="s">
        <v>117</v>
      </c>
      <c r="B19" t="s">
        <v>159</v>
      </c>
      <c r="C19" s="1">
        <f>'Year 1 CF Projection'!Q20</f>
        <v>90000</v>
      </c>
      <c r="D19" s="1">
        <f t="shared" si="4"/>
        <v>90000</v>
      </c>
      <c r="E19" s="1">
        <f t="shared" si="4"/>
        <v>90000</v>
      </c>
      <c r="F19" s="1">
        <f t="shared" si="4"/>
        <v>90000</v>
      </c>
      <c r="G19" s="1">
        <f t="shared" si="4"/>
        <v>90000</v>
      </c>
      <c r="H19" s="1">
        <f t="shared" si="1"/>
        <v>450000</v>
      </c>
      <c r="I19" s="1"/>
    </row>
    <row r="20" spans="1:13">
      <c r="A20" t="s">
        <v>35</v>
      </c>
      <c r="B20" t="s">
        <v>36</v>
      </c>
      <c r="C20" s="1">
        <f>'Year 1 CF Projection'!Q21</f>
        <v>120000</v>
      </c>
      <c r="D20" s="1">
        <f t="shared" si="4"/>
        <v>120000</v>
      </c>
      <c r="E20" s="1">
        <f t="shared" si="4"/>
        <v>120000</v>
      </c>
      <c r="F20" s="1">
        <f t="shared" si="4"/>
        <v>120000</v>
      </c>
      <c r="G20" s="1">
        <f t="shared" si="4"/>
        <v>120000</v>
      </c>
      <c r="H20" s="1">
        <f t="shared" si="1"/>
        <v>600000</v>
      </c>
      <c r="I20" s="1"/>
    </row>
    <row r="21" spans="1:13">
      <c r="A21" t="s">
        <v>168</v>
      </c>
      <c r="B21" t="s">
        <v>170</v>
      </c>
      <c r="C21" s="1">
        <f>'Year 1 CF Projection'!Q22</f>
        <v>0</v>
      </c>
      <c r="D21" s="1">
        <f t="shared" si="4"/>
        <v>0</v>
      </c>
      <c r="E21" s="1">
        <f t="shared" si="4"/>
        <v>0</v>
      </c>
      <c r="F21" s="1">
        <f t="shared" si="4"/>
        <v>0</v>
      </c>
      <c r="G21" s="1">
        <f t="shared" si="4"/>
        <v>0</v>
      </c>
      <c r="H21" s="1">
        <f t="shared" si="1"/>
        <v>0</v>
      </c>
      <c r="I21" s="1"/>
    </row>
    <row r="22" spans="1:13">
      <c r="A22" t="s">
        <v>169</v>
      </c>
      <c r="B22" t="s">
        <v>171</v>
      </c>
      <c r="C22" s="1">
        <f>'Year 1 CF Projection'!Q23</f>
        <v>0</v>
      </c>
      <c r="D22" s="1">
        <f t="shared" si="4"/>
        <v>0</v>
      </c>
      <c r="E22" s="1">
        <f t="shared" si="4"/>
        <v>0</v>
      </c>
      <c r="F22" s="1">
        <f t="shared" si="4"/>
        <v>0</v>
      </c>
      <c r="G22" s="1">
        <f t="shared" si="4"/>
        <v>0</v>
      </c>
      <c r="H22" s="1">
        <f t="shared" si="1"/>
        <v>0</v>
      </c>
      <c r="I22" s="1"/>
    </row>
    <row r="23" spans="1:13">
      <c r="A23" t="s">
        <v>7</v>
      </c>
      <c r="C23" s="26">
        <f>Interest!E5+Interest!G5</f>
        <v>322800</v>
      </c>
      <c r="D23" s="26">
        <f>Interest!E6+Interest!G6</f>
        <v>284400</v>
      </c>
      <c r="E23" s="26">
        <f>Interest!E7+Interest!G7</f>
        <v>246000</v>
      </c>
      <c r="F23" s="26">
        <f>Interest!E8+Interest!G8</f>
        <v>191400</v>
      </c>
      <c r="G23" s="26">
        <v>0</v>
      </c>
      <c r="H23" s="26">
        <f t="shared" si="1"/>
        <v>1044600</v>
      </c>
      <c r="I23" s="1"/>
    </row>
    <row r="24" spans="1:13">
      <c r="A24" t="s">
        <v>214</v>
      </c>
      <c r="C24" s="1">
        <v>0</v>
      </c>
      <c r="D24" s="1">
        <f>'5 Yr IS Projections'!C23</f>
        <v>272610</v>
      </c>
      <c r="E24" s="1">
        <f>'5 Yr IS Projections'!D23</f>
        <v>284130</v>
      </c>
      <c r="F24" s="1">
        <f>'5 Yr IS Projections'!E23</f>
        <v>295650</v>
      </c>
      <c r="G24" s="1">
        <f>'5 Yr IS Projections'!F23</f>
        <v>315630</v>
      </c>
      <c r="H24" s="1">
        <f>SUM(C24:G24)</f>
        <v>1168020</v>
      </c>
      <c r="I24" s="1"/>
    </row>
    <row r="25" spans="1:13">
      <c r="A25" s="4" t="s">
        <v>23</v>
      </c>
      <c r="B25" s="4"/>
      <c r="C25" s="66">
        <f>SUM(C11:C24)</f>
        <v>11134800</v>
      </c>
      <c r="D25" s="66">
        <f>SUM(D11:D24)</f>
        <v>10259010</v>
      </c>
      <c r="E25" s="66">
        <f t="shared" ref="E25:G25" si="5">SUM(E11:E24)</f>
        <v>10232130</v>
      </c>
      <c r="F25" s="66">
        <f t="shared" si="5"/>
        <v>10189050</v>
      </c>
      <c r="G25" s="66">
        <f t="shared" si="5"/>
        <v>10017630</v>
      </c>
      <c r="H25" s="66">
        <f t="shared" si="1"/>
        <v>51832620</v>
      </c>
      <c r="I25" s="1"/>
    </row>
    <row r="26" spans="1:13">
      <c r="C26" s="1"/>
      <c r="D26" s="1"/>
      <c r="E26" s="1"/>
      <c r="F26" s="1"/>
      <c r="G26" s="1"/>
      <c r="H26" s="1">
        <f t="shared" si="1"/>
        <v>0</v>
      </c>
      <c r="I26" s="1"/>
    </row>
    <row r="27" spans="1:13">
      <c r="A27" s="4" t="s">
        <v>41</v>
      </c>
      <c r="B27" s="4"/>
      <c r="C27" s="1">
        <f>C9-C25</f>
        <v>-2134800</v>
      </c>
      <c r="D27" s="1">
        <f t="shared" ref="D27:G27" si="6">D9-D25</f>
        <v>540990</v>
      </c>
      <c r="E27" s="1">
        <f t="shared" si="6"/>
        <v>567870</v>
      </c>
      <c r="F27" s="1">
        <f t="shared" si="6"/>
        <v>610950</v>
      </c>
      <c r="G27" s="1">
        <f t="shared" si="6"/>
        <v>782370</v>
      </c>
      <c r="H27" s="1">
        <f t="shared" si="1"/>
        <v>367380</v>
      </c>
      <c r="I27" s="1"/>
      <c r="J27" s="13"/>
      <c r="K27" s="13"/>
      <c r="L27" s="13"/>
      <c r="M27" s="13"/>
    </row>
    <row r="28" spans="1:13">
      <c r="A28" t="s">
        <v>25</v>
      </c>
      <c r="C28" s="1">
        <f>'BS 2006-07'!F13</f>
        <v>-999000</v>
      </c>
      <c r="D28" s="1">
        <f>C29</f>
        <v>-3133800</v>
      </c>
      <c r="E28" s="1">
        <f t="shared" ref="E28:G28" si="7">D29</f>
        <v>-2592810</v>
      </c>
      <c r="F28" s="1">
        <f t="shared" si="7"/>
        <v>-2024940</v>
      </c>
      <c r="G28" s="1">
        <f t="shared" si="7"/>
        <v>-1413990</v>
      </c>
      <c r="H28" s="1">
        <f>C28</f>
        <v>-999000</v>
      </c>
      <c r="I28" s="1"/>
    </row>
    <row r="29" spans="1:13" ht="15" thickBot="1">
      <c r="A29" s="4" t="s">
        <v>26</v>
      </c>
      <c r="C29" s="120">
        <f>SUM(C27:C28)</f>
        <v>-3133800</v>
      </c>
      <c r="D29" s="120">
        <f t="shared" ref="D29:H29" si="8">SUM(D27:D28)</f>
        <v>-2592810</v>
      </c>
      <c r="E29" s="120">
        <f t="shared" si="8"/>
        <v>-2024940</v>
      </c>
      <c r="F29" s="120">
        <f t="shared" si="8"/>
        <v>-1413990</v>
      </c>
      <c r="G29" s="120">
        <f t="shared" si="8"/>
        <v>-631620</v>
      </c>
      <c r="H29" s="120">
        <f t="shared" si="8"/>
        <v>-631620</v>
      </c>
      <c r="I29" s="6"/>
    </row>
    <row r="30" spans="1:13" ht="15" thickTop="1"/>
    <row r="31" spans="1:13" s="99" customFormat="1">
      <c r="A31" s="98" t="s">
        <v>288</v>
      </c>
      <c r="C31" s="101">
        <f>(C28+C29)/2</f>
        <v>-2066400</v>
      </c>
      <c r="D31" s="101">
        <f>C32+(D28+D29)/2</f>
        <v>-3276585</v>
      </c>
      <c r="E31" s="101">
        <f t="shared" ref="E31:G31" si="9">D32+(E28+E29)/2</f>
        <v>-2964192</v>
      </c>
      <c r="F31" s="101">
        <f t="shared" si="9"/>
        <v>-2312303.4</v>
      </c>
      <c r="G31" s="101">
        <f t="shared" si="9"/>
        <v>-1485265.68</v>
      </c>
      <c r="H31" s="101"/>
    </row>
    <row r="32" spans="1:13">
      <c r="A32" t="s">
        <v>287</v>
      </c>
      <c r="B32" s="100">
        <v>0.2</v>
      </c>
      <c r="C32" s="101">
        <f>C31*$B$32</f>
        <v>-413280</v>
      </c>
      <c r="D32" s="101">
        <f t="shared" ref="D32:G32" si="10">D31*$B$32</f>
        <v>-655317</v>
      </c>
      <c r="E32" s="101">
        <f t="shared" si="10"/>
        <v>-592838.40000000002</v>
      </c>
      <c r="F32" s="101">
        <f t="shared" si="10"/>
        <v>-462460.68</v>
      </c>
      <c r="G32" s="101">
        <f t="shared" si="10"/>
        <v>-297053.136</v>
      </c>
      <c r="H32" s="101">
        <f>SUM(C32:G32)</f>
        <v>-2420949.216</v>
      </c>
    </row>
    <row r="33" spans="4:4">
      <c r="D33" s="110"/>
    </row>
  </sheetData>
  <mergeCells count="1">
    <mergeCell ref="C1:H1"/>
  </mergeCells>
  <phoneticPr fontId="10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32"/>
  <sheetViews>
    <sheetView topLeftCell="A14" workbookViewId="0">
      <selection activeCell="C29" sqref="C29:H29"/>
    </sheetView>
  </sheetViews>
  <sheetFormatPr baseColWidth="10" defaultColWidth="8.83203125" defaultRowHeight="14"/>
  <cols>
    <col min="1" max="1" width="38.5" customWidth="1"/>
    <col min="2" max="2" width="35.33203125" customWidth="1"/>
    <col min="3" max="3" width="11.83203125" bestFit="1" customWidth="1"/>
    <col min="4" max="4" width="17.6640625" bestFit="1" customWidth="1"/>
    <col min="5" max="5" width="11.5" customWidth="1"/>
    <col min="6" max="6" width="12" customWidth="1"/>
    <col min="7" max="7" width="12.83203125" customWidth="1"/>
    <col min="8" max="8" width="11.5" customWidth="1"/>
    <col min="9" max="9" width="15.33203125" customWidth="1"/>
    <col min="10" max="10" width="10.6640625" customWidth="1"/>
  </cols>
  <sheetData>
    <row r="1" spans="1:13" ht="18">
      <c r="C1" s="126" t="s">
        <v>40</v>
      </c>
      <c r="D1" s="126"/>
      <c r="E1" s="126"/>
      <c r="F1" s="126"/>
      <c r="G1" s="126"/>
      <c r="H1" s="126"/>
    </row>
    <row r="3" spans="1:13">
      <c r="A3" t="s">
        <v>264</v>
      </c>
      <c r="B3" t="s">
        <v>174</v>
      </c>
      <c r="C3" s="105">
        <v>1</v>
      </c>
      <c r="D3" s="105">
        <v>2</v>
      </c>
      <c r="E3" s="105">
        <v>3</v>
      </c>
      <c r="F3" s="105">
        <v>4</v>
      </c>
      <c r="G3" s="105">
        <v>5</v>
      </c>
      <c r="H3" s="105" t="s">
        <v>196</v>
      </c>
      <c r="I3" s="11"/>
      <c r="J3" s="11"/>
      <c r="K3" s="11"/>
      <c r="L3" s="11"/>
    </row>
    <row r="4" spans="1:13" hidden="1">
      <c r="A4" t="s">
        <v>108</v>
      </c>
      <c r="B4">
        <v>0</v>
      </c>
      <c r="C4">
        <v>24</v>
      </c>
      <c r="D4">
        <v>24</v>
      </c>
      <c r="E4">
        <v>24</v>
      </c>
      <c r="F4">
        <v>24</v>
      </c>
      <c r="G4">
        <v>24</v>
      </c>
      <c r="H4">
        <f>SUM(C4:G4)</f>
        <v>120</v>
      </c>
      <c r="I4" s="11"/>
      <c r="J4" s="11"/>
      <c r="K4" s="11"/>
      <c r="L4" s="11"/>
      <c r="M4" s="11"/>
    </row>
    <row r="5" spans="1:13" hidden="1">
      <c r="A5" t="s">
        <v>165</v>
      </c>
      <c r="C5" s="8">
        <v>450000</v>
      </c>
      <c r="D5" s="8">
        <f>C5</f>
        <v>450000</v>
      </c>
      <c r="E5" s="8">
        <f t="shared" ref="E5:G5" si="0">D5</f>
        <v>450000</v>
      </c>
      <c r="F5" s="8">
        <f t="shared" si="0"/>
        <v>450000</v>
      </c>
      <c r="G5" s="8">
        <f t="shared" si="0"/>
        <v>450000</v>
      </c>
      <c r="H5" s="1"/>
      <c r="I5" s="8"/>
      <c r="J5" s="11"/>
      <c r="K5" s="11"/>
      <c r="L5" s="11"/>
    </row>
    <row r="6" spans="1:13">
      <c r="A6" t="s">
        <v>179</v>
      </c>
      <c r="B6" s="19"/>
      <c r="C6" s="79">
        <f>'Year 1 CF Projection (2)'!Q7</f>
        <v>9760500</v>
      </c>
      <c r="D6" s="79">
        <f>('5 Yr IS Projections'!C5*2/12+'5 Yr IS Projections'!D5*10/12)*108.45%</f>
        <v>11712600</v>
      </c>
      <c r="E6" s="79">
        <f>('5 Yr IS Projections'!D5*2/12+'5 Yr IS Projections'!E5*10/12)*108.45%</f>
        <v>11712600</v>
      </c>
      <c r="F6" s="79">
        <f>('5 Yr IS Projections'!E5*2/12+'5 Yr IS Projections'!F5*10/12)*108.45%</f>
        <v>11712600</v>
      </c>
      <c r="G6" s="79">
        <f>('5 Yr IS Projections'!F5*2/12+'5 Yr IS Projections'!G5*10/12)*108.45%</f>
        <v>11712600</v>
      </c>
      <c r="H6" s="66">
        <f t="shared" ref="H6:H27" si="1">SUM(C6:G6)</f>
        <v>56610900</v>
      </c>
      <c r="I6" s="8"/>
      <c r="J6" s="11"/>
      <c r="K6" s="11"/>
      <c r="L6" s="11"/>
    </row>
    <row r="7" spans="1:13">
      <c r="A7" t="s">
        <v>282</v>
      </c>
      <c r="C7" s="106">
        <f>'Year 1 CF Projection (2)'!Q8</f>
        <v>0</v>
      </c>
      <c r="D7" s="1"/>
      <c r="E7" s="1"/>
      <c r="F7" s="1"/>
      <c r="G7" s="1"/>
      <c r="H7" s="1">
        <f t="shared" si="1"/>
        <v>0</v>
      </c>
      <c r="I7" s="1"/>
      <c r="J7" s="15"/>
      <c r="K7" s="15"/>
      <c r="L7" s="15"/>
    </row>
    <row r="8" spans="1:13">
      <c r="A8" t="s">
        <v>180</v>
      </c>
      <c r="C8" s="106">
        <f>'Year 1 CF Projection (2)'!Q9</f>
        <v>0</v>
      </c>
      <c r="D8" s="8"/>
      <c r="E8" s="8"/>
      <c r="F8" s="8"/>
      <c r="G8" s="8"/>
      <c r="H8" s="1">
        <f t="shared" si="1"/>
        <v>0</v>
      </c>
      <c r="I8" s="8"/>
      <c r="J8" s="11"/>
      <c r="K8" s="11"/>
      <c r="L8" s="11"/>
    </row>
    <row r="9" spans="1:13" ht="15" thickBot="1">
      <c r="A9" s="18" t="s">
        <v>21</v>
      </c>
      <c r="B9" s="18"/>
      <c r="C9" s="89">
        <f t="shared" ref="C9:G9" si="2">SUM(C6:C8)</f>
        <v>9760500</v>
      </c>
      <c r="D9" s="89">
        <f t="shared" si="2"/>
        <v>11712600</v>
      </c>
      <c r="E9" s="89">
        <f t="shared" si="2"/>
        <v>11712600</v>
      </c>
      <c r="F9" s="89">
        <f t="shared" si="2"/>
        <v>11712600</v>
      </c>
      <c r="G9" s="89">
        <f t="shared" si="2"/>
        <v>11712600</v>
      </c>
      <c r="H9" s="47">
        <f t="shared" si="1"/>
        <v>56610900</v>
      </c>
      <c r="I9" s="8"/>
      <c r="J9" s="11"/>
      <c r="K9" s="11"/>
      <c r="L9" s="11"/>
    </row>
    <row r="10" spans="1:13" ht="15" thickTop="1">
      <c r="A10" t="s">
        <v>22</v>
      </c>
      <c r="C10" s="8"/>
      <c r="D10" s="8"/>
      <c r="E10" s="8"/>
      <c r="F10" s="8"/>
      <c r="G10" s="8"/>
      <c r="H10" s="1"/>
      <c r="I10" s="8"/>
      <c r="J10" s="11"/>
      <c r="K10" s="11"/>
      <c r="L10" s="11"/>
    </row>
    <row r="11" spans="1:13">
      <c r="A11" t="s">
        <v>33</v>
      </c>
      <c r="C11" s="1">
        <f>'Year 1 CF Projection (2)'!Q12</f>
        <v>500000</v>
      </c>
      <c r="D11" s="1"/>
      <c r="E11" s="1"/>
      <c r="F11" s="1"/>
      <c r="G11" s="1"/>
      <c r="H11" s="1">
        <f t="shared" si="1"/>
        <v>500000</v>
      </c>
      <c r="I11" s="1"/>
    </row>
    <row r="12" spans="1:13">
      <c r="A12" t="s">
        <v>34</v>
      </c>
      <c r="C12" s="1">
        <f>'Year 1 CF Projection (2)'!Q13</f>
        <v>520000</v>
      </c>
      <c r="D12" s="1"/>
      <c r="E12" s="1"/>
      <c r="F12" s="1"/>
      <c r="G12" s="1"/>
      <c r="H12" s="1">
        <f t="shared" si="1"/>
        <v>520000</v>
      </c>
      <c r="I12" s="1"/>
    </row>
    <row r="13" spans="1:13">
      <c r="A13" t="s">
        <v>100</v>
      </c>
      <c r="C13" s="1">
        <f>'Year 1 CF Projection (2)'!Q14</f>
        <v>90000</v>
      </c>
      <c r="D13" s="1"/>
      <c r="E13" s="1"/>
      <c r="F13" s="1"/>
      <c r="G13" s="1"/>
      <c r="H13" s="1">
        <f t="shared" si="1"/>
        <v>90000</v>
      </c>
      <c r="I13" s="1"/>
    </row>
    <row r="14" spans="1:13">
      <c r="A14" t="s">
        <v>99</v>
      </c>
      <c r="B14" t="s">
        <v>172</v>
      </c>
      <c r="C14" s="1">
        <f>'Year 1 CF Projection (2)'!Q15</f>
        <v>4608000</v>
      </c>
      <c r="D14" s="1">
        <f>C14</f>
        <v>4608000</v>
      </c>
      <c r="E14" s="1">
        <f t="shared" ref="E14:G14" si="3">D14</f>
        <v>4608000</v>
      </c>
      <c r="F14" s="1">
        <f t="shared" si="3"/>
        <v>4608000</v>
      </c>
      <c r="G14" s="1">
        <f t="shared" si="3"/>
        <v>4608000</v>
      </c>
      <c r="H14" s="1">
        <f t="shared" si="1"/>
        <v>23040000</v>
      </c>
      <c r="I14" s="1"/>
    </row>
    <row r="15" spans="1:13">
      <c r="A15" t="s">
        <v>292</v>
      </c>
      <c r="B15" t="s">
        <v>157</v>
      </c>
      <c r="C15" s="1">
        <f>'Year 1 CF Projection (2)'!Q16</f>
        <v>1440000</v>
      </c>
      <c r="D15" s="1">
        <f t="shared" ref="D15:G22" si="4">C15</f>
        <v>1440000</v>
      </c>
      <c r="E15" s="1">
        <f t="shared" si="4"/>
        <v>1440000</v>
      </c>
      <c r="F15" s="1">
        <f t="shared" si="4"/>
        <v>1440000</v>
      </c>
      <c r="G15" s="1">
        <f t="shared" si="4"/>
        <v>1440000</v>
      </c>
      <c r="H15" s="1">
        <f t="shared" si="1"/>
        <v>7200000</v>
      </c>
      <c r="I15" s="1"/>
    </row>
    <row r="16" spans="1:13">
      <c r="A16" t="s">
        <v>102</v>
      </c>
      <c r="B16" t="s">
        <v>158</v>
      </c>
      <c r="C16" s="1">
        <f>'Year 1 CF Projection (2)'!Q17</f>
        <v>288000</v>
      </c>
      <c r="D16" s="1">
        <f t="shared" si="4"/>
        <v>288000</v>
      </c>
      <c r="E16" s="1">
        <f t="shared" si="4"/>
        <v>288000</v>
      </c>
      <c r="F16" s="1">
        <f t="shared" si="4"/>
        <v>288000</v>
      </c>
      <c r="G16" s="1">
        <f t="shared" si="4"/>
        <v>288000</v>
      </c>
      <c r="H16" s="1">
        <f t="shared" si="1"/>
        <v>1440000</v>
      </c>
      <c r="I16" s="1"/>
    </row>
    <row r="17" spans="1:13">
      <c r="A17" t="s">
        <v>192</v>
      </c>
      <c r="B17" t="s">
        <v>156</v>
      </c>
      <c r="C17" s="1">
        <f>'Year 1 CF Projection (2)'!Q18</f>
        <v>756000</v>
      </c>
      <c r="D17" s="1">
        <f t="shared" si="4"/>
        <v>756000</v>
      </c>
      <c r="E17" s="1">
        <f t="shared" si="4"/>
        <v>756000</v>
      </c>
      <c r="F17" s="1">
        <f t="shared" si="4"/>
        <v>756000</v>
      </c>
      <c r="G17" s="1">
        <f t="shared" si="4"/>
        <v>756000</v>
      </c>
      <c r="H17" s="1">
        <f t="shared" si="1"/>
        <v>3780000</v>
      </c>
      <c r="I17" s="1"/>
    </row>
    <row r="18" spans="1:13">
      <c r="A18" t="s">
        <v>200</v>
      </c>
      <c r="B18" t="s">
        <v>164</v>
      </c>
      <c r="C18" s="1">
        <f>'Year 1 CF Projection (2)'!Q19</f>
        <v>2400000</v>
      </c>
      <c r="D18" s="1">
        <f t="shared" si="4"/>
        <v>2400000</v>
      </c>
      <c r="E18" s="1">
        <f t="shared" si="4"/>
        <v>2400000</v>
      </c>
      <c r="F18" s="1">
        <f t="shared" si="4"/>
        <v>2400000</v>
      </c>
      <c r="G18" s="1">
        <f t="shared" si="4"/>
        <v>2400000</v>
      </c>
      <c r="H18" s="1">
        <f t="shared" si="1"/>
        <v>12000000</v>
      </c>
      <c r="I18" s="1"/>
    </row>
    <row r="19" spans="1:13">
      <c r="A19" t="s">
        <v>117</v>
      </c>
      <c r="B19" t="s">
        <v>159</v>
      </c>
      <c r="C19" s="1">
        <f>'Year 1 CF Projection (2)'!Q20</f>
        <v>90000</v>
      </c>
      <c r="D19" s="1">
        <f t="shared" si="4"/>
        <v>90000</v>
      </c>
      <c r="E19" s="1">
        <f t="shared" si="4"/>
        <v>90000</v>
      </c>
      <c r="F19" s="1">
        <f t="shared" si="4"/>
        <v>90000</v>
      </c>
      <c r="G19" s="1">
        <f t="shared" si="4"/>
        <v>90000</v>
      </c>
      <c r="H19" s="1">
        <f t="shared" si="1"/>
        <v>450000</v>
      </c>
      <c r="I19" s="1"/>
    </row>
    <row r="20" spans="1:13">
      <c r="A20" t="s">
        <v>35</v>
      </c>
      <c r="B20" t="s">
        <v>36</v>
      </c>
      <c r="C20" s="1">
        <f>'Year 1 CF Projection (2)'!Q21</f>
        <v>120000</v>
      </c>
      <c r="D20" s="1">
        <f t="shared" si="4"/>
        <v>120000</v>
      </c>
      <c r="E20" s="1">
        <f t="shared" si="4"/>
        <v>120000</v>
      </c>
      <c r="F20" s="1">
        <f t="shared" si="4"/>
        <v>120000</v>
      </c>
      <c r="G20" s="1">
        <f t="shared" si="4"/>
        <v>120000</v>
      </c>
      <c r="H20" s="1">
        <f t="shared" si="1"/>
        <v>600000</v>
      </c>
      <c r="I20" s="1"/>
    </row>
    <row r="21" spans="1:13">
      <c r="A21" t="s">
        <v>168</v>
      </c>
      <c r="B21" t="s">
        <v>170</v>
      </c>
      <c r="C21" s="1">
        <f>'Year 1 CF Projection (2)'!Q22</f>
        <v>0</v>
      </c>
      <c r="D21" s="1">
        <f t="shared" si="4"/>
        <v>0</v>
      </c>
      <c r="E21" s="1">
        <f t="shared" si="4"/>
        <v>0</v>
      </c>
      <c r="F21" s="1">
        <f t="shared" si="4"/>
        <v>0</v>
      </c>
      <c r="G21" s="1">
        <f t="shared" si="4"/>
        <v>0</v>
      </c>
      <c r="H21" s="1">
        <f t="shared" si="1"/>
        <v>0</v>
      </c>
      <c r="I21" s="1"/>
    </row>
    <row r="22" spans="1:13">
      <c r="A22" t="s">
        <v>169</v>
      </c>
      <c r="B22" t="s">
        <v>171</v>
      </c>
      <c r="C22" s="1">
        <f>'Year 1 CF Projection (2)'!Q23</f>
        <v>0</v>
      </c>
      <c r="D22" s="1">
        <f t="shared" si="4"/>
        <v>0</v>
      </c>
      <c r="E22" s="1">
        <f t="shared" si="4"/>
        <v>0</v>
      </c>
      <c r="F22" s="1">
        <f t="shared" si="4"/>
        <v>0</v>
      </c>
      <c r="G22" s="1">
        <f t="shared" si="4"/>
        <v>0</v>
      </c>
      <c r="H22" s="1">
        <f t="shared" si="1"/>
        <v>0</v>
      </c>
      <c r="I22" s="1"/>
    </row>
    <row r="23" spans="1:13">
      <c r="A23" t="s">
        <v>7</v>
      </c>
      <c r="C23" s="26">
        <f>'Year 1 CF Projection (2)'!Q24</f>
        <v>322800</v>
      </c>
      <c r="D23" s="26">
        <f>Interest!E6+Interest!G6</f>
        <v>284400</v>
      </c>
      <c r="E23" s="26">
        <f>Interest!E7+Interest!G7</f>
        <v>246000</v>
      </c>
      <c r="F23" s="26">
        <f>Interest!E8+Interest!G8</f>
        <v>191400</v>
      </c>
      <c r="G23" s="26">
        <v>0</v>
      </c>
      <c r="H23" s="26">
        <f t="shared" si="1"/>
        <v>1044600</v>
      </c>
      <c r="I23" s="1"/>
    </row>
    <row r="24" spans="1:13">
      <c r="A24" t="s">
        <v>214</v>
      </c>
      <c r="C24" s="1">
        <v>0</v>
      </c>
      <c r="D24" s="1">
        <f>'5 Yr IS Projections (2)'!C23</f>
        <v>546390</v>
      </c>
      <c r="E24" s="1">
        <f>'5 Yr IS Projections (2)'!D23</f>
        <v>557910</v>
      </c>
      <c r="F24" s="1">
        <f>'5 Yr IS Projections (2)'!E23</f>
        <v>569430</v>
      </c>
      <c r="G24" s="1">
        <f>'5 Yr IS Projections (2)'!F23</f>
        <v>589410</v>
      </c>
      <c r="H24" s="1">
        <f>SUM(C24:G24)</f>
        <v>2263140</v>
      </c>
      <c r="I24" s="1"/>
    </row>
    <row r="25" spans="1:13">
      <c r="A25" s="4" t="s">
        <v>23</v>
      </c>
      <c r="B25" s="4"/>
      <c r="C25" s="66">
        <f>SUM(C11:C24)</f>
        <v>11134800</v>
      </c>
      <c r="D25" s="66">
        <f>SUM(D11:D24)</f>
        <v>10532790</v>
      </c>
      <c r="E25" s="66">
        <f t="shared" ref="E25:G25" si="5">SUM(E11:E24)</f>
        <v>10505910</v>
      </c>
      <c r="F25" s="66">
        <f t="shared" si="5"/>
        <v>10462830</v>
      </c>
      <c r="G25" s="66">
        <f t="shared" si="5"/>
        <v>10291410</v>
      </c>
      <c r="H25" s="66">
        <f t="shared" si="1"/>
        <v>52927740</v>
      </c>
      <c r="I25" s="1"/>
    </row>
    <row r="26" spans="1:13">
      <c r="C26" s="1"/>
      <c r="D26" s="1"/>
      <c r="E26" s="1"/>
      <c r="F26" s="1"/>
      <c r="G26" s="1"/>
      <c r="H26" s="1">
        <f t="shared" si="1"/>
        <v>0</v>
      </c>
      <c r="I26" s="1"/>
    </row>
    <row r="27" spans="1:13">
      <c r="A27" s="4" t="s">
        <v>41</v>
      </c>
      <c r="B27" s="4"/>
      <c r="C27" s="1">
        <f>C9-C25</f>
        <v>-1374300</v>
      </c>
      <c r="D27" s="1">
        <f t="shared" ref="D27:G27" si="6">D9-D25</f>
        <v>1179810</v>
      </c>
      <c r="E27" s="1">
        <f t="shared" si="6"/>
        <v>1206690</v>
      </c>
      <c r="F27" s="1">
        <f t="shared" si="6"/>
        <v>1249770</v>
      </c>
      <c r="G27" s="1">
        <f t="shared" si="6"/>
        <v>1421190</v>
      </c>
      <c r="H27" s="1">
        <f t="shared" si="1"/>
        <v>3683160</v>
      </c>
      <c r="I27" s="1"/>
      <c r="J27" s="13"/>
      <c r="K27" s="13"/>
      <c r="L27" s="13"/>
      <c r="M27" s="13"/>
    </row>
    <row r="28" spans="1:13">
      <c r="A28" t="s">
        <v>25</v>
      </c>
      <c r="C28" s="1">
        <f>'BS 2006-07'!F13</f>
        <v>-999000</v>
      </c>
      <c r="D28" s="1">
        <f>C29</f>
        <v>-2373300</v>
      </c>
      <c r="E28" s="1">
        <f t="shared" ref="E28:G28" si="7">D29</f>
        <v>-1193490</v>
      </c>
      <c r="F28" s="1">
        <f t="shared" si="7"/>
        <v>13200</v>
      </c>
      <c r="G28" s="1">
        <f t="shared" si="7"/>
        <v>1262970</v>
      </c>
      <c r="H28" s="1">
        <f>C28</f>
        <v>-999000</v>
      </c>
      <c r="I28" s="1"/>
    </row>
    <row r="29" spans="1:13" ht="15" thickBot="1">
      <c r="A29" s="4" t="s">
        <v>26</v>
      </c>
      <c r="C29" s="120">
        <f>SUM(C27:C28)</f>
        <v>-2373300</v>
      </c>
      <c r="D29" s="120">
        <f t="shared" ref="D29:H29" si="8">SUM(D27:D28)</f>
        <v>-1193490</v>
      </c>
      <c r="E29" s="120">
        <f t="shared" si="8"/>
        <v>13200</v>
      </c>
      <c r="F29" s="120">
        <f t="shared" si="8"/>
        <v>1262970</v>
      </c>
      <c r="G29" s="120">
        <f t="shared" si="8"/>
        <v>2684160</v>
      </c>
      <c r="H29" s="120">
        <f t="shared" si="8"/>
        <v>2684160</v>
      </c>
      <c r="I29" s="101"/>
    </row>
    <row r="30" spans="1:13" ht="15" thickTop="1"/>
    <row r="31" spans="1:13" s="99" customFormat="1">
      <c r="A31" s="98" t="s">
        <v>288</v>
      </c>
      <c r="C31" s="101">
        <f>(C28+C29)/2</f>
        <v>-1686150</v>
      </c>
      <c r="D31" s="101">
        <f>C32+(D28+D29)/2</f>
        <v>-2120625</v>
      </c>
      <c r="E31" s="101">
        <f t="shared" ref="E31:G31" si="9">D32+(E28+E29)/2</f>
        <v>-1014270</v>
      </c>
      <c r="F31" s="101">
        <f t="shared" si="9"/>
        <v>435231</v>
      </c>
      <c r="G31" s="101">
        <f t="shared" si="9"/>
        <v>2060611.2</v>
      </c>
      <c r="H31" s="101"/>
    </row>
    <row r="32" spans="1:13">
      <c r="A32" t="s">
        <v>287</v>
      </c>
      <c r="B32" s="100">
        <v>0.2</v>
      </c>
      <c r="C32" s="101">
        <f>C31*$B$32</f>
        <v>-337230</v>
      </c>
      <c r="D32" s="101">
        <f t="shared" ref="D32:G32" si="10">D31*$B$32</f>
        <v>-424125</v>
      </c>
      <c r="E32" s="101">
        <f t="shared" si="10"/>
        <v>-202854</v>
      </c>
      <c r="F32" s="101">
        <f t="shared" si="10"/>
        <v>87046.200000000012</v>
      </c>
      <c r="G32" s="101">
        <f t="shared" si="10"/>
        <v>412122.24</v>
      </c>
      <c r="H32" s="101">
        <f>SUM(C32:G32)</f>
        <v>-465040.56000000006</v>
      </c>
    </row>
  </sheetData>
  <mergeCells count="1">
    <mergeCell ref="C1:H1"/>
  </mergeCells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30"/>
  <sheetViews>
    <sheetView topLeftCell="A13" workbookViewId="0">
      <selection activeCell="F32" sqref="F32"/>
    </sheetView>
  </sheetViews>
  <sheetFormatPr baseColWidth="10" defaultColWidth="8.83203125" defaultRowHeight="14"/>
  <cols>
    <col min="1" max="1" width="38.5" customWidth="1"/>
    <col min="2" max="2" width="35.33203125" customWidth="1"/>
    <col min="3" max="3" width="11.33203125" customWidth="1"/>
    <col min="4" max="4" width="11.83203125" customWidth="1"/>
    <col min="5" max="5" width="11.5" customWidth="1"/>
    <col min="6" max="6" width="12" customWidth="1"/>
    <col min="7" max="7" width="12.83203125" customWidth="1"/>
    <col min="8" max="8" width="11.5" customWidth="1"/>
    <col min="9" max="9" width="15.33203125" customWidth="1"/>
    <col min="10" max="10" width="10.6640625" customWidth="1"/>
  </cols>
  <sheetData>
    <row r="1" spans="1:13" ht="18">
      <c r="C1" s="126" t="s">
        <v>40</v>
      </c>
      <c r="D1" s="126"/>
      <c r="E1" s="126"/>
      <c r="F1" s="126"/>
      <c r="G1" s="126"/>
      <c r="H1" s="126"/>
    </row>
    <row r="3" spans="1:13">
      <c r="A3" t="s">
        <v>264</v>
      </c>
      <c r="B3" t="s">
        <v>174</v>
      </c>
      <c r="C3" s="45">
        <v>1</v>
      </c>
      <c r="D3" s="45">
        <v>2</v>
      </c>
      <c r="E3" s="45">
        <v>3</v>
      </c>
      <c r="F3" s="45">
        <v>4</v>
      </c>
      <c r="G3" s="45">
        <v>5</v>
      </c>
      <c r="H3" s="45" t="s">
        <v>196</v>
      </c>
      <c r="I3" s="11"/>
      <c r="J3" s="11"/>
      <c r="K3" s="11"/>
      <c r="L3" s="11"/>
    </row>
    <row r="4" spans="1:13" hidden="1">
      <c r="A4" t="s">
        <v>108</v>
      </c>
      <c r="B4">
        <v>0</v>
      </c>
      <c r="C4">
        <v>24</v>
      </c>
      <c r="D4">
        <v>24</v>
      </c>
      <c r="E4">
        <v>24</v>
      </c>
      <c r="F4">
        <v>24</v>
      </c>
      <c r="G4">
        <v>24</v>
      </c>
      <c r="H4">
        <f>SUM(C4:G4)</f>
        <v>120</v>
      </c>
      <c r="I4" s="11"/>
      <c r="J4" s="11"/>
      <c r="K4" s="11"/>
      <c r="L4" s="11"/>
      <c r="M4" s="11"/>
    </row>
    <row r="5" spans="1:13" hidden="1">
      <c r="A5" t="s">
        <v>165</v>
      </c>
      <c r="C5" s="8">
        <v>450000</v>
      </c>
      <c r="D5" s="8">
        <f>C5</f>
        <v>450000</v>
      </c>
      <c r="E5" s="8">
        <f t="shared" ref="E5:G5" si="0">D5</f>
        <v>450000</v>
      </c>
      <c r="F5" s="8">
        <f t="shared" si="0"/>
        <v>450000</v>
      </c>
      <c r="G5" s="8">
        <f t="shared" si="0"/>
        <v>450000</v>
      </c>
      <c r="H5" s="1"/>
      <c r="I5" s="8"/>
      <c r="J5" s="11"/>
      <c r="K5" s="11"/>
      <c r="L5" s="11"/>
    </row>
    <row r="6" spans="1:13">
      <c r="A6" t="s">
        <v>179</v>
      </c>
      <c r="B6" s="19"/>
      <c r="C6" s="79">
        <f>'Year 1 CF Projection'!Q7</f>
        <v>9000000</v>
      </c>
      <c r="D6" s="79">
        <f>'5 Yr IS Projections'!C5*2/12+'5 Yr IS Projections'!D5*10/12</f>
        <v>10800000</v>
      </c>
      <c r="E6" s="79">
        <f>'5 Yr IS Projections'!D5*2/12+'5 Yr IS Projections'!E5*10/12</f>
        <v>10800000</v>
      </c>
      <c r="F6" s="79">
        <f>'5 Yr IS Projections'!E5*2/12+'5 Yr IS Projections'!F5*10/12</f>
        <v>10800000</v>
      </c>
      <c r="G6" s="79">
        <f>'5 Yr IS Projections'!F5*2/12+'5 Yr IS Projections'!G5*10/12</f>
        <v>10800000</v>
      </c>
      <c r="H6" s="66">
        <f t="shared" ref="H6:H27" si="1">SUM(C6:G6)</f>
        <v>52200000</v>
      </c>
      <c r="I6" s="8"/>
      <c r="J6" s="11"/>
      <c r="K6" s="11"/>
      <c r="L6" s="11"/>
    </row>
    <row r="7" spans="1:13">
      <c r="A7" t="s">
        <v>282</v>
      </c>
      <c r="C7" s="8">
        <f>'Year 1 CF Projection'!Q8</f>
        <v>0</v>
      </c>
      <c r="D7" s="1"/>
      <c r="E7" s="1"/>
      <c r="F7" s="1"/>
      <c r="G7" s="1"/>
      <c r="H7" s="1">
        <f t="shared" si="1"/>
        <v>0</v>
      </c>
      <c r="I7" s="1"/>
      <c r="J7" s="15"/>
      <c r="K7" s="15"/>
      <c r="L7" s="15"/>
    </row>
    <row r="8" spans="1:13">
      <c r="A8" t="s">
        <v>180</v>
      </c>
      <c r="C8" s="8">
        <f>'Year 1 CF Projection'!Q9</f>
        <v>0</v>
      </c>
      <c r="D8" s="8"/>
      <c r="E8" s="8"/>
      <c r="F8" s="8"/>
      <c r="G8" s="8"/>
      <c r="H8" s="1">
        <f t="shared" si="1"/>
        <v>0</v>
      </c>
      <c r="I8" s="8"/>
      <c r="J8" s="11"/>
      <c r="K8" s="11"/>
      <c r="L8" s="11"/>
    </row>
    <row r="9" spans="1:13" ht="15" thickBot="1">
      <c r="A9" s="18" t="s">
        <v>21</v>
      </c>
      <c r="B9" s="18"/>
      <c r="C9" s="89">
        <f t="shared" ref="C9:G9" si="2">SUM(C6:C8)</f>
        <v>9000000</v>
      </c>
      <c r="D9" s="89">
        <f t="shared" si="2"/>
        <v>10800000</v>
      </c>
      <c r="E9" s="89">
        <f t="shared" si="2"/>
        <v>10800000</v>
      </c>
      <c r="F9" s="89">
        <f t="shared" si="2"/>
        <v>10800000</v>
      </c>
      <c r="G9" s="89">
        <f t="shared" si="2"/>
        <v>10800000</v>
      </c>
      <c r="H9" s="47">
        <f t="shared" si="1"/>
        <v>52200000</v>
      </c>
      <c r="I9" s="8"/>
      <c r="J9" s="11"/>
      <c r="K9" s="11"/>
      <c r="L9" s="11"/>
    </row>
    <row r="10" spans="1:13" ht="15" thickTop="1">
      <c r="A10" t="s">
        <v>22</v>
      </c>
      <c r="C10" s="8"/>
      <c r="D10" s="8"/>
      <c r="E10" s="8"/>
      <c r="F10" s="8"/>
      <c r="G10" s="8"/>
      <c r="H10" s="1"/>
      <c r="I10" s="8"/>
      <c r="J10" s="11"/>
      <c r="K10" s="11"/>
      <c r="L10" s="11"/>
    </row>
    <row r="11" spans="1:13">
      <c r="A11" t="s">
        <v>33</v>
      </c>
      <c r="C11" s="1">
        <f>'Year 1 CF Projection'!Q12</f>
        <v>500000</v>
      </c>
      <c r="D11" s="1"/>
      <c r="E11" s="1"/>
      <c r="F11" s="1"/>
      <c r="G11" s="1"/>
      <c r="H11" s="1">
        <f t="shared" si="1"/>
        <v>500000</v>
      </c>
      <c r="I11" s="1"/>
    </row>
    <row r="12" spans="1:13">
      <c r="A12" t="s">
        <v>34</v>
      </c>
      <c r="C12" s="1">
        <f>'Year 1 CF Projection'!Q13</f>
        <v>520000</v>
      </c>
      <c r="D12" s="1"/>
      <c r="E12" s="1"/>
      <c r="F12" s="1"/>
      <c r="G12" s="1"/>
      <c r="H12" s="1">
        <f t="shared" si="1"/>
        <v>520000</v>
      </c>
      <c r="I12" s="1"/>
    </row>
    <row r="13" spans="1:13">
      <c r="A13" t="s">
        <v>100</v>
      </c>
      <c r="C13" s="1">
        <f>'Year 1 CF Projection'!Q14</f>
        <v>90000</v>
      </c>
      <c r="D13" s="1"/>
      <c r="E13" s="1"/>
      <c r="F13" s="1"/>
      <c r="G13" s="1"/>
      <c r="H13" s="1">
        <f t="shared" si="1"/>
        <v>90000</v>
      </c>
      <c r="I13" s="1"/>
    </row>
    <row r="14" spans="1:13">
      <c r="A14" t="s">
        <v>99</v>
      </c>
      <c r="B14" t="s">
        <v>172</v>
      </c>
      <c r="C14" s="1">
        <f>'Year 1 CF Projection'!Q15</f>
        <v>4608000</v>
      </c>
      <c r="D14" s="1">
        <f>C14</f>
        <v>4608000</v>
      </c>
      <c r="E14" s="1">
        <f t="shared" ref="E14:G14" si="3">D14</f>
        <v>4608000</v>
      </c>
      <c r="F14" s="1">
        <f t="shared" si="3"/>
        <v>4608000</v>
      </c>
      <c r="G14" s="1">
        <f t="shared" si="3"/>
        <v>4608000</v>
      </c>
      <c r="H14" s="1">
        <f t="shared" si="1"/>
        <v>23040000</v>
      </c>
      <c r="I14" s="1"/>
    </row>
    <row r="15" spans="1:13">
      <c r="A15" t="s">
        <v>292</v>
      </c>
      <c r="B15" t="s">
        <v>157</v>
      </c>
      <c r="C15" s="1">
        <f>'Year 1 CF Projection'!Q16</f>
        <v>1440000</v>
      </c>
      <c r="D15" s="1">
        <f t="shared" ref="D15:G22" si="4">C15</f>
        <v>1440000</v>
      </c>
      <c r="E15" s="1">
        <f t="shared" si="4"/>
        <v>1440000</v>
      </c>
      <c r="F15" s="1">
        <f t="shared" si="4"/>
        <v>1440000</v>
      </c>
      <c r="G15" s="1">
        <f t="shared" si="4"/>
        <v>1440000</v>
      </c>
      <c r="H15" s="1">
        <f t="shared" si="1"/>
        <v>7200000</v>
      </c>
      <c r="I15" s="1"/>
    </row>
    <row r="16" spans="1:13">
      <c r="A16" t="s">
        <v>102</v>
      </c>
      <c r="B16" t="s">
        <v>158</v>
      </c>
      <c r="C16" s="1">
        <f>'Year 1 CF Projection'!Q17</f>
        <v>288000</v>
      </c>
      <c r="D16" s="1">
        <f t="shared" si="4"/>
        <v>288000</v>
      </c>
      <c r="E16" s="1">
        <f t="shared" si="4"/>
        <v>288000</v>
      </c>
      <c r="F16" s="1">
        <f t="shared" si="4"/>
        <v>288000</v>
      </c>
      <c r="G16" s="1">
        <f t="shared" si="4"/>
        <v>288000</v>
      </c>
      <c r="H16" s="1">
        <f t="shared" si="1"/>
        <v>1440000</v>
      </c>
      <c r="I16" s="1"/>
    </row>
    <row r="17" spans="1:13">
      <c r="A17" t="s">
        <v>192</v>
      </c>
      <c r="B17" t="s">
        <v>156</v>
      </c>
      <c r="C17" s="1">
        <f>'Year 1 CF Projection'!Q18</f>
        <v>756000</v>
      </c>
      <c r="D17" s="1">
        <f t="shared" si="4"/>
        <v>756000</v>
      </c>
      <c r="E17" s="1">
        <f t="shared" si="4"/>
        <v>756000</v>
      </c>
      <c r="F17" s="1">
        <f t="shared" si="4"/>
        <v>756000</v>
      </c>
      <c r="G17" s="1">
        <f t="shared" si="4"/>
        <v>756000</v>
      </c>
      <c r="H17" s="1">
        <f t="shared" si="1"/>
        <v>3780000</v>
      </c>
      <c r="I17" s="1"/>
    </row>
    <row r="18" spans="1:13">
      <c r="A18" t="s">
        <v>200</v>
      </c>
      <c r="B18" t="s">
        <v>164</v>
      </c>
      <c r="C18" s="1">
        <f>'Year 1 CF Projection'!Q19</f>
        <v>2400000</v>
      </c>
      <c r="D18" s="1">
        <f t="shared" si="4"/>
        <v>2400000</v>
      </c>
      <c r="E18" s="1">
        <f t="shared" si="4"/>
        <v>2400000</v>
      </c>
      <c r="F18" s="1">
        <f t="shared" si="4"/>
        <v>2400000</v>
      </c>
      <c r="G18" s="1">
        <f t="shared" si="4"/>
        <v>2400000</v>
      </c>
      <c r="H18" s="1">
        <f t="shared" si="1"/>
        <v>12000000</v>
      </c>
      <c r="I18" s="1"/>
    </row>
    <row r="19" spans="1:13">
      <c r="A19" t="s">
        <v>117</v>
      </c>
      <c r="B19" t="s">
        <v>159</v>
      </c>
      <c r="C19" s="1">
        <f>'Year 1 CF Projection'!Q20</f>
        <v>90000</v>
      </c>
      <c r="D19" s="1">
        <f t="shared" si="4"/>
        <v>90000</v>
      </c>
      <c r="E19" s="1">
        <f t="shared" si="4"/>
        <v>90000</v>
      </c>
      <c r="F19" s="1">
        <f t="shared" si="4"/>
        <v>90000</v>
      </c>
      <c r="G19" s="1">
        <f t="shared" si="4"/>
        <v>90000</v>
      </c>
      <c r="H19" s="1">
        <f t="shared" si="1"/>
        <v>450000</v>
      </c>
      <c r="I19" s="1"/>
    </row>
    <row r="20" spans="1:13">
      <c r="A20" t="s">
        <v>35</v>
      </c>
      <c r="B20" t="s">
        <v>36</v>
      </c>
      <c r="C20" s="1">
        <f>'Year 1 CF Projection (3)'!Q21</f>
        <v>0</v>
      </c>
      <c r="D20" s="1">
        <f t="shared" si="4"/>
        <v>0</v>
      </c>
      <c r="E20" s="1">
        <f t="shared" si="4"/>
        <v>0</v>
      </c>
      <c r="F20" s="1">
        <f t="shared" si="4"/>
        <v>0</v>
      </c>
      <c r="G20" s="1">
        <f t="shared" si="4"/>
        <v>0</v>
      </c>
      <c r="H20" s="1">
        <f t="shared" si="1"/>
        <v>0</v>
      </c>
      <c r="I20" s="1"/>
    </row>
    <row r="21" spans="1:13">
      <c r="A21" t="s">
        <v>168</v>
      </c>
      <c r="B21" t="s">
        <v>170</v>
      </c>
      <c r="C21" s="1">
        <f>'Year 1 CF Projection'!Q22</f>
        <v>0</v>
      </c>
      <c r="D21" s="1">
        <f t="shared" si="4"/>
        <v>0</v>
      </c>
      <c r="E21" s="1">
        <f t="shared" si="4"/>
        <v>0</v>
      </c>
      <c r="F21" s="1">
        <f t="shared" si="4"/>
        <v>0</v>
      </c>
      <c r="G21" s="1">
        <f t="shared" si="4"/>
        <v>0</v>
      </c>
      <c r="H21" s="1">
        <f t="shared" si="1"/>
        <v>0</v>
      </c>
      <c r="I21" s="1"/>
    </row>
    <row r="22" spans="1:13">
      <c r="A22" t="s">
        <v>169</v>
      </c>
      <c r="B22" t="s">
        <v>171</v>
      </c>
      <c r="C22" s="1">
        <f>'Year 1 CF Projection'!Q23</f>
        <v>0</v>
      </c>
      <c r="D22" s="1">
        <f t="shared" si="4"/>
        <v>0</v>
      </c>
      <c r="E22" s="1">
        <f t="shared" si="4"/>
        <v>0</v>
      </c>
      <c r="F22" s="1">
        <f t="shared" si="4"/>
        <v>0</v>
      </c>
      <c r="G22" s="1">
        <f t="shared" si="4"/>
        <v>0</v>
      </c>
      <c r="H22" s="1">
        <f t="shared" si="1"/>
        <v>0</v>
      </c>
      <c r="I22" s="1"/>
    </row>
    <row r="23" spans="1:13">
      <c r="A23" t="s">
        <v>7</v>
      </c>
      <c r="C23" s="26">
        <f>Interest!E5+Interest!G5</f>
        <v>322800</v>
      </c>
      <c r="D23" s="26">
        <f>Interest!E6+Interest!G6</f>
        <v>284400</v>
      </c>
      <c r="E23" s="26">
        <f>Interest!E7+Interest!G7</f>
        <v>246000</v>
      </c>
      <c r="F23" s="26">
        <f>Interest!E8+Interest!G8</f>
        <v>191400</v>
      </c>
      <c r="G23" s="26">
        <v>0</v>
      </c>
      <c r="H23" s="26">
        <f t="shared" si="1"/>
        <v>1044600</v>
      </c>
      <c r="I23" s="1"/>
    </row>
    <row r="24" spans="1:13">
      <c r="A24" t="s">
        <v>214</v>
      </c>
      <c r="C24" s="1">
        <v>0</v>
      </c>
      <c r="D24" s="1">
        <f>'5 Yr IS Projections'!C23</f>
        <v>272610</v>
      </c>
      <c r="E24" s="1">
        <f>'5 Yr IS Projections'!D23</f>
        <v>284130</v>
      </c>
      <c r="F24" s="1">
        <f>'5 Yr IS Projections'!E23</f>
        <v>295650</v>
      </c>
      <c r="G24" s="1">
        <f>'5 Yr IS Projections'!F23</f>
        <v>315630</v>
      </c>
      <c r="H24" s="1">
        <f>SUM(C24:G24)</f>
        <v>1168020</v>
      </c>
      <c r="I24" s="1"/>
    </row>
    <row r="25" spans="1:13">
      <c r="A25" s="4" t="s">
        <v>23</v>
      </c>
      <c r="B25" s="4"/>
      <c r="C25" s="66">
        <f>SUM(C11:C24)</f>
        <v>11014800</v>
      </c>
      <c r="D25" s="66">
        <f>SUM(D11:D24)</f>
        <v>10139010</v>
      </c>
      <c r="E25" s="66">
        <f t="shared" ref="E25:G25" si="5">SUM(E11:E24)</f>
        <v>10112130</v>
      </c>
      <c r="F25" s="66">
        <f t="shared" si="5"/>
        <v>10069050</v>
      </c>
      <c r="G25" s="66">
        <f t="shared" si="5"/>
        <v>9897630</v>
      </c>
      <c r="H25" s="66">
        <f t="shared" si="1"/>
        <v>51232620</v>
      </c>
      <c r="I25" s="1"/>
    </row>
    <row r="26" spans="1:13">
      <c r="C26" s="1"/>
      <c r="D26" s="1"/>
      <c r="E26" s="1"/>
      <c r="F26" s="1"/>
      <c r="G26" s="1"/>
      <c r="H26" s="1">
        <f t="shared" si="1"/>
        <v>0</v>
      </c>
      <c r="I26" s="1"/>
    </row>
    <row r="27" spans="1:13">
      <c r="A27" s="4" t="s">
        <v>41</v>
      </c>
      <c r="B27" s="4"/>
      <c r="C27" s="1">
        <f>C9-C25</f>
        <v>-2014800</v>
      </c>
      <c r="D27" s="1">
        <f t="shared" ref="D27:G27" si="6">D9-D25</f>
        <v>660990</v>
      </c>
      <c r="E27" s="1">
        <f t="shared" si="6"/>
        <v>687870</v>
      </c>
      <c r="F27" s="1">
        <f t="shared" si="6"/>
        <v>730950</v>
      </c>
      <c r="G27" s="1">
        <f t="shared" si="6"/>
        <v>902370</v>
      </c>
      <c r="H27" s="1">
        <f t="shared" si="1"/>
        <v>967380</v>
      </c>
      <c r="I27" s="1"/>
      <c r="J27" s="13"/>
      <c r="K27" s="13"/>
      <c r="L27" s="13"/>
      <c r="M27" s="13"/>
    </row>
    <row r="28" spans="1:13">
      <c r="A28" t="s">
        <v>25</v>
      </c>
      <c r="C28" s="1">
        <f>'BS 2006-07'!F13</f>
        <v>-999000</v>
      </c>
      <c r="D28" s="1">
        <f>C29</f>
        <v>-3013800</v>
      </c>
      <c r="E28" s="1">
        <f t="shared" ref="E28:G28" si="7">D29</f>
        <v>-2352810</v>
      </c>
      <c r="F28" s="1">
        <f t="shared" si="7"/>
        <v>-1664940</v>
      </c>
      <c r="G28" s="1">
        <f t="shared" si="7"/>
        <v>-933990</v>
      </c>
      <c r="H28" s="1">
        <f>C28</f>
        <v>-999000</v>
      </c>
      <c r="I28" s="1"/>
    </row>
    <row r="29" spans="1:13" ht="15" thickBot="1">
      <c r="A29" s="4" t="s">
        <v>26</v>
      </c>
      <c r="C29" s="120">
        <f>SUM(C27:C28)</f>
        <v>-3013800</v>
      </c>
      <c r="D29" s="120">
        <f t="shared" ref="D29:H29" si="8">SUM(D27:D28)</f>
        <v>-2352810</v>
      </c>
      <c r="E29" s="120">
        <f t="shared" si="8"/>
        <v>-1664940</v>
      </c>
      <c r="F29" s="120">
        <f t="shared" si="8"/>
        <v>-933990</v>
      </c>
      <c r="G29" s="120">
        <f t="shared" si="8"/>
        <v>-31620</v>
      </c>
      <c r="H29" s="120">
        <f t="shared" si="8"/>
        <v>-31620</v>
      </c>
      <c r="I29" s="6"/>
    </row>
    <row r="30" spans="1:13" ht="15" thickTop="1"/>
  </sheetData>
  <mergeCells count="1">
    <mergeCell ref="C1:H1"/>
  </mergeCells>
  <phoneticPr fontId="10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30"/>
  <sheetViews>
    <sheetView topLeftCell="B7" workbookViewId="0">
      <selection activeCell="C29" sqref="C29:H29"/>
    </sheetView>
  </sheetViews>
  <sheetFormatPr baseColWidth="10" defaultColWidth="8.83203125" defaultRowHeight="14"/>
  <cols>
    <col min="1" max="1" width="38.5" customWidth="1"/>
    <col min="2" max="2" width="35.33203125" customWidth="1"/>
    <col min="3" max="3" width="11.33203125" customWidth="1"/>
    <col min="4" max="4" width="11.83203125" customWidth="1"/>
    <col min="5" max="5" width="11.5" customWidth="1"/>
    <col min="6" max="6" width="12" customWidth="1"/>
    <col min="7" max="7" width="12.83203125" customWidth="1"/>
    <col min="8" max="8" width="11.5" customWidth="1"/>
    <col min="9" max="9" width="15.33203125" customWidth="1"/>
    <col min="10" max="10" width="10.6640625" customWidth="1"/>
  </cols>
  <sheetData>
    <row r="1" spans="1:13" ht="18">
      <c r="C1" s="126" t="s">
        <v>40</v>
      </c>
      <c r="D1" s="126"/>
      <c r="E1" s="126"/>
      <c r="F1" s="126"/>
      <c r="G1" s="126"/>
      <c r="H1" s="126"/>
    </row>
    <row r="3" spans="1:13">
      <c r="A3" t="s">
        <v>264</v>
      </c>
      <c r="B3" t="s">
        <v>174</v>
      </c>
      <c r="C3" s="45">
        <v>1</v>
      </c>
      <c r="D3" s="45">
        <v>2</v>
      </c>
      <c r="E3" s="45">
        <v>3</v>
      </c>
      <c r="F3" s="45">
        <v>4</v>
      </c>
      <c r="G3" s="45">
        <v>5</v>
      </c>
      <c r="H3" s="45" t="s">
        <v>196</v>
      </c>
      <c r="I3" s="11"/>
      <c r="J3" s="11"/>
      <c r="K3" s="11"/>
      <c r="L3" s="11"/>
    </row>
    <row r="4" spans="1:13" hidden="1">
      <c r="A4" t="s">
        <v>108</v>
      </c>
      <c r="B4">
        <v>0</v>
      </c>
      <c r="C4">
        <v>24</v>
      </c>
      <c r="D4">
        <v>24</v>
      </c>
      <c r="E4">
        <v>24</v>
      </c>
      <c r="F4">
        <v>24</v>
      </c>
      <c r="G4">
        <v>24</v>
      </c>
      <c r="H4">
        <f>SUM(C4:G4)</f>
        <v>120</v>
      </c>
      <c r="I4" s="11"/>
      <c r="J4" s="11"/>
      <c r="K4" s="11"/>
      <c r="L4" s="11"/>
      <c r="M4" s="11"/>
    </row>
    <row r="5" spans="1:13" hidden="1">
      <c r="A5" t="s">
        <v>165</v>
      </c>
      <c r="C5" s="8">
        <v>450000</v>
      </c>
      <c r="D5" s="8">
        <f>C5</f>
        <v>450000</v>
      </c>
      <c r="E5" s="8">
        <f t="shared" ref="E5:G5" si="0">D5</f>
        <v>450000</v>
      </c>
      <c r="F5" s="8">
        <f t="shared" si="0"/>
        <v>450000</v>
      </c>
      <c r="G5" s="8">
        <f t="shared" si="0"/>
        <v>450000</v>
      </c>
      <c r="H5" s="1"/>
      <c r="I5" s="8"/>
      <c r="J5" s="11"/>
      <c r="K5" s="11"/>
      <c r="L5" s="11"/>
    </row>
    <row r="6" spans="1:13">
      <c r="A6" t="s">
        <v>179</v>
      </c>
      <c r="B6" s="19"/>
      <c r="C6" s="79">
        <f>'Year 1 CF Projection (4)'!Q7</f>
        <v>7200000</v>
      </c>
      <c r="D6" s="79">
        <f>'5 Yr IS Projections'!C5*3/12+'5 Yr IS Projections'!D5*9/12</f>
        <v>10800000</v>
      </c>
      <c r="E6" s="79">
        <f>'5 Yr IS Projections'!D5*3/12+'5 Yr IS Projections'!E5*9/12</f>
        <v>10800000</v>
      </c>
      <c r="F6" s="79">
        <f>'5 Yr IS Projections'!E5*3/12+'5 Yr IS Projections'!F5*9/12</f>
        <v>10800000</v>
      </c>
      <c r="G6" s="79">
        <f>'5 Yr IS Projections'!F5*3/12+'5 Yr IS Projections'!G5*9/12</f>
        <v>10800000</v>
      </c>
      <c r="H6" s="66">
        <f t="shared" ref="H6:H27" si="1">SUM(C6:G6)</f>
        <v>50400000</v>
      </c>
      <c r="I6" s="8"/>
      <c r="J6" s="11"/>
      <c r="K6" s="11"/>
      <c r="L6" s="11"/>
    </row>
    <row r="7" spans="1:13">
      <c r="A7" t="s">
        <v>282</v>
      </c>
      <c r="C7" s="8">
        <f>'Year 1 CF Projection'!Q8</f>
        <v>0</v>
      </c>
      <c r="D7" s="1"/>
      <c r="E7" s="1"/>
      <c r="F7" s="1"/>
      <c r="G7" s="1"/>
      <c r="H7" s="1">
        <f t="shared" si="1"/>
        <v>0</v>
      </c>
      <c r="I7" s="1"/>
      <c r="J7" s="15"/>
      <c r="K7" s="15"/>
      <c r="L7" s="15"/>
    </row>
    <row r="8" spans="1:13">
      <c r="A8" t="s">
        <v>180</v>
      </c>
      <c r="C8" s="8">
        <f>'Year 1 CF Projection'!Q9</f>
        <v>0</v>
      </c>
      <c r="D8" s="8"/>
      <c r="E8" s="8"/>
      <c r="F8" s="8"/>
      <c r="G8" s="8"/>
      <c r="H8" s="1">
        <f t="shared" si="1"/>
        <v>0</v>
      </c>
      <c r="I8" s="8"/>
      <c r="J8" s="11"/>
      <c r="K8" s="11"/>
      <c r="L8" s="11"/>
    </row>
    <row r="9" spans="1:13" ht="15" thickBot="1">
      <c r="A9" s="18" t="s">
        <v>21</v>
      </c>
      <c r="B9" s="18"/>
      <c r="C9" s="89">
        <f t="shared" ref="C9:G9" si="2">SUM(C6:C8)</f>
        <v>7200000</v>
      </c>
      <c r="D9" s="89">
        <f t="shared" si="2"/>
        <v>10800000</v>
      </c>
      <c r="E9" s="89">
        <f t="shared" si="2"/>
        <v>10800000</v>
      </c>
      <c r="F9" s="89">
        <f t="shared" si="2"/>
        <v>10800000</v>
      </c>
      <c r="G9" s="89">
        <f t="shared" si="2"/>
        <v>10800000</v>
      </c>
      <c r="H9" s="47">
        <f t="shared" si="1"/>
        <v>50400000</v>
      </c>
      <c r="I9" s="8"/>
      <c r="J9" s="11"/>
      <c r="K9" s="11"/>
      <c r="L9" s="11"/>
    </row>
    <row r="10" spans="1:13" ht="15" thickTop="1">
      <c r="A10" t="s">
        <v>22</v>
      </c>
      <c r="C10" s="8"/>
      <c r="D10" s="8"/>
      <c r="E10" s="8"/>
      <c r="F10" s="8"/>
      <c r="G10" s="8"/>
      <c r="H10" s="1"/>
      <c r="I10" s="8"/>
      <c r="J10" s="11"/>
      <c r="K10" s="11"/>
      <c r="L10" s="11"/>
    </row>
    <row r="11" spans="1:13">
      <c r="A11" t="s">
        <v>33</v>
      </c>
      <c r="C11" s="1">
        <f>'Year 1 CF Projection'!Q12</f>
        <v>500000</v>
      </c>
      <c r="D11" s="1"/>
      <c r="E11" s="1"/>
      <c r="F11" s="1"/>
      <c r="G11" s="1"/>
      <c r="H11" s="1">
        <f t="shared" si="1"/>
        <v>500000</v>
      </c>
      <c r="I11" s="1"/>
    </row>
    <row r="12" spans="1:13">
      <c r="A12" t="s">
        <v>34</v>
      </c>
      <c r="C12" s="1">
        <f>'Year 1 CF Projection'!Q13</f>
        <v>520000</v>
      </c>
      <c r="D12" s="1"/>
      <c r="E12" s="1"/>
      <c r="F12" s="1"/>
      <c r="G12" s="1"/>
      <c r="H12" s="1">
        <f t="shared" si="1"/>
        <v>520000</v>
      </c>
      <c r="I12" s="1"/>
    </row>
    <row r="13" spans="1:13">
      <c r="A13" t="s">
        <v>100</v>
      </c>
      <c r="C13" s="1">
        <f>'Year 1 CF Projection'!Q14</f>
        <v>90000</v>
      </c>
      <c r="D13" s="1"/>
      <c r="E13" s="1"/>
      <c r="F13" s="1"/>
      <c r="G13" s="1"/>
      <c r="H13" s="1">
        <f t="shared" si="1"/>
        <v>90000</v>
      </c>
      <c r="I13" s="1"/>
    </row>
    <row r="14" spans="1:13">
      <c r="A14" t="s">
        <v>99</v>
      </c>
      <c r="B14" t="s">
        <v>172</v>
      </c>
      <c r="C14" s="1">
        <f>'Year 1 CF Projection'!Q15</f>
        <v>4608000</v>
      </c>
      <c r="D14" s="1">
        <f>C14</f>
        <v>4608000</v>
      </c>
      <c r="E14" s="1">
        <f t="shared" ref="E14:G14" si="3">D14</f>
        <v>4608000</v>
      </c>
      <c r="F14" s="1">
        <f t="shared" si="3"/>
        <v>4608000</v>
      </c>
      <c r="G14" s="1">
        <f t="shared" si="3"/>
        <v>4608000</v>
      </c>
      <c r="H14" s="1">
        <f t="shared" si="1"/>
        <v>23040000</v>
      </c>
      <c r="I14" s="1"/>
    </row>
    <row r="15" spans="1:13">
      <c r="A15" t="s">
        <v>292</v>
      </c>
      <c r="B15" t="s">
        <v>157</v>
      </c>
      <c r="C15" s="1">
        <f>'Year 1 CF Projection'!Q16</f>
        <v>1440000</v>
      </c>
      <c r="D15" s="1">
        <f t="shared" ref="D15:G22" si="4">C15</f>
        <v>1440000</v>
      </c>
      <c r="E15" s="1">
        <f t="shared" si="4"/>
        <v>1440000</v>
      </c>
      <c r="F15" s="1">
        <f t="shared" si="4"/>
        <v>1440000</v>
      </c>
      <c r="G15" s="1">
        <f t="shared" si="4"/>
        <v>1440000</v>
      </c>
      <c r="H15" s="1">
        <f t="shared" si="1"/>
        <v>7200000</v>
      </c>
      <c r="I15" s="1"/>
    </row>
    <row r="16" spans="1:13">
      <c r="A16" t="s">
        <v>102</v>
      </c>
      <c r="B16" t="s">
        <v>158</v>
      </c>
      <c r="C16" s="1">
        <f>'Year 1 CF Projection'!Q17</f>
        <v>288000</v>
      </c>
      <c r="D16" s="1">
        <f t="shared" si="4"/>
        <v>288000</v>
      </c>
      <c r="E16" s="1">
        <f t="shared" si="4"/>
        <v>288000</v>
      </c>
      <c r="F16" s="1">
        <f t="shared" si="4"/>
        <v>288000</v>
      </c>
      <c r="G16" s="1">
        <f t="shared" si="4"/>
        <v>288000</v>
      </c>
      <c r="H16" s="1">
        <f t="shared" si="1"/>
        <v>1440000</v>
      </c>
      <c r="I16" s="1"/>
    </row>
    <row r="17" spans="1:13">
      <c r="A17" t="s">
        <v>192</v>
      </c>
      <c r="B17" t="s">
        <v>156</v>
      </c>
      <c r="C17" s="1">
        <f>'Year 1 CF Projection'!Q18</f>
        <v>756000</v>
      </c>
      <c r="D17" s="1">
        <f t="shared" si="4"/>
        <v>756000</v>
      </c>
      <c r="E17" s="1">
        <f t="shared" si="4"/>
        <v>756000</v>
      </c>
      <c r="F17" s="1">
        <f t="shared" si="4"/>
        <v>756000</v>
      </c>
      <c r="G17" s="1">
        <f t="shared" si="4"/>
        <v>756000</v>
      </c>
      <c r="H17" s="1">
        <f t="shared" si="1"/>
        <v>3780000</v>
      </c>
      <c r="I17" s="1"/>
    </row>
    <row r="18" spans="1:13">
      <c r="A18" t="s">
        <v>200</v>
      </c>
      <c r="B18" t="s">
        <v>164</v>
      </c>
      <c r="C18" s="1">
        <f>'Year 1 CF Projection'!Q19</f>
        <v>2400000</v>
      </c>
      <c r="D18" s="1">
        <f t="shared" si="4"/>
        <v>2400000</v>
      </c>
      <c r="E18" s="1">
        <f t="shared" si="4"/>
        <v>2400000</v>
      </c>
      <c r="F18" s="1">
        <f t="shared" si="4"/>
        <v>2400000</v>
      </c>
      <c r="G18" s="1">
        <f t="shared" si="4"/>
        <v>2400000</v>
      </c>
      <c r="H18" s="1">
        <f t="shared" si="1"/>
        <v>12000000</v>
      </c>
      <c r="I18" s="1"/>
    </row>
    <row r="19" spans="1:13">
      <c r="A19" t="s">
        <v>117</v>
      </c>
      <c r="B19" t="s">
        <v>159</v>
      </c>
      <c r="C19" s="1">
        <f>'Year 1 CF Projection'!Q20</f>
        <v>90000</v>
      </c>
      <c r="D19" s="1">
        <f t="shared" si="4"/>
        <v>90000</v>
      </c>
      <c r="E19" s="1">
        <f t="shared" si="4"/>
        <v>90000</v>
      </c>
      <c r="F19" s="1">
        <f t="shared" si="4"/>
        <v>90000</v>
      </c>
      <c r="G19" s="1">
        <f t="shared" si="4"/>
        <v>90000</v>
      </c>
      <c r="H19" s="1">
        <f t="shared" si="1"/>
        <v>450000</v>
      </c>
      <c r="I19" s="1"/>
    </row>
    <row r="20" spans="1:13">
      <c r="A20" t="s">
        <v>35</v>
      </c>
      <c r="B20" t="s">
        <v>36</v>
      </c>
      <c r="C20" s="1">
        <f>'Year 1 CF Projection'!Q21</f>
        <v>120000</v>
      </c>
      <c r="D20" s="1">
        <f t="shared" si="4"/>
        <v>120000</v>
      </c>
      <c r="E20" s="1">
        <f t="shared" si="4"/>
        <v>120000</v>
      </c>
      <c r="F20" s="1">
        <f t="shared" si="4"/>
        <v>120000</v>
      </c>
      <c r="G20" s="1">
        <f t="shared" si="4"/>
        <v>120000</v>
      </c>
      <c r="H20" s="1">
        <f t="shared" si="1"/>
        <v>600000</v>
      </c>
      <c r="I20" s="1"/>
    </row>
    <row r="21" spans="1:13">
      <c r="A21" t="s">
        <v>168</v>
      </c>
      <c r="B21" t="s">
        <v>170</v>
      </c>
      <c r="C21" s="1">
        <f>'Year 1 CF Projection'!Q22</f>
        <v>0</v>
      </c>
      <c r="D21" s="1">
        <f t="shared" si="4"/>
        <v>0</v>
      </c>
      <c r="E21" s="1">
        <f t="shared" si="4"/>
        <v>0</v>
      </c>
      <c r="F21" s="1">
        <f t="shared" si="4"/>
        <v>0</v>
      </c>
      <c r="G21" s="1">
        <f t="shared" si="4"/>
        <v>0</v>
      </c>
      <c r="H21" s="1">
        <f t="shared" si="1"/>
        <v>0</v>
      </c>
      <c r="I21" s="1"/>
    </row>
    <row r="22" spans="1:13">
      <c r="A22" t="s">
        <v>169</v>
      </c>
      <c r="B22" t="s">
        <v>171</v>
      </c>
      <c r="C22" s="1">
        <f>'Year 1 CF Projection'!Q23</f>
        <v>0</v>
      </c>
      <c r="D22" s="1">
        <f t="shared" si="4"/>
        <v>0</v>
      </c>
      <c r="E22" s="1">
        <f t="shared" si="4"/>
        <v>0</v>
      </c>
      <c r="F22" s="1">
        <f t="shared" si="4"/>
        <v>0</v>
      </c>
      <c r="G22" s="1">
        <f t="shared" si="4"/>
        <v>0</v>
      </c>
      <c r="H22" s="1">
        <f t="shared" si="1"/>
        <v>0</v>
      </c>
      <c r="I22" s="1"/>
    </row>
    <row r="23" spans="1:13">
      <c r="A23" t="s">
        <v>7</v>
      </c>
      <c r="C23" s="26">
        <f>Interest!E5+Interest!G5</f>
        <v>322800</v>
      </c>
      <c r="D23" s="26">
        <f>Interest!E6+Interest!G6</f>
        <v>284400</v>
      </c>
      <c r="E23" s="26">
        <f>Interest!E7+Interest!G7</f>
        <v>246000</v>
      </c>
      <c r="F23" s="26">
        <f>Interest!E8+Interest!G8</f>
        <v>191400</v>
      </c>
      <c r="G23" s="26">
        <v>0</v>
      </c>
      <c r="H23" s="26">
        <f t="shared" si="1"/>
        <v>1044600</v>
      </c>
      <c r="I23" s="1"/>
    </row>
    <row r="24" spans="1:13">
      <c r="A24" t="s">
        <v>214</v>
      </c>
      <c r="C24" s="1">
        <v>0</v>
      </c>
      <c r="D24" s="1">
        <f>'5 Yr IS Projections'!C23</f>
        <v>272610</v>
      </c>
      <c r="E24" s="1">
        <f>'5 Yr IS Projections'!D23</f>
        <v>284130</v>
      </c>
      <c r="F24" s="1">
        <f>'5 Yr IS Projections'!E23</f>
        <v>295650</v>
      </c>
      <c r="G24" s="1">
        <f>'5 Yr IS Projections'!F23</f>
        <v>315630</v>
      </c>
      <c r="H24" s="1">
        <f>SUM(C24:G24)</f>
        <v>1168020</v>
      </c>
      <c r="I24" s="1"/>
    </row>
    <row r="25" spans="1:13">
      <c r="A25" s="4" t="s">
        <v>23</v>
      </c>
      <c r="B25" s="4"/>
      <c r="C25" s="66">
        <f>SUM(C11:C24)</f>
        <v>11134800</v>
      </c>
      <c r="D25" s="66">
        <f>SUM(D11:D24)</f>
        <v>10259010</v>
      </c>
      <c r="E25" s="66">
        <f t="shared" ref="E25:G25" si="5">SUM(E11:E24)</f>
        <v>10232130</v>
      </c>
      <c r="F25" s="66">
        <f t="shared" si="5"/>
        <v>10189050</v>
      </c>
      <c r="G25" s="66">
        <f t="shared" si="5"/>
        <v>10017630</v>
      </c>
      <c r="H25" s="66">
        <f t="shared" si="1"/>
        <v>51832620</v>
      </c>
      <c r="I25" s="1"/>
    </row>
    <row r="26" spans="1:13">
      <c r="C26" s="1"/>
      <c r="D26" s="1"/>
      <c r="E26" s="1"/>
      <c r="F26" s="1"/>
      <c r="G26" s="1"/>
      <c r="H26" s="1">
        <f t="shared" si="1"/>
        <v>0</v>
      </c>
      <c r="I26" s="1"/>
    </row>
    <row r="27" spans="1:13">
      <c r="A27" s="4" t="s">
        <v>41</v>
      </c>
      <c r="B27" s="4"/>
      <c r="C27" s="1">
        <f>C9-C25</f>
        <v>-3934800</v>
      </c>
      <c r="D27" s="1">
        <f t="shared" ref="D27:G27" si="6">D9-D25</f>
        <v>540990</v>
      </c>
      <c r="E27" s="1">
        <f t="shared" si="6"/>
        <v>567870</v>
      </c>
      <c r="F27" s="1">
        <f t="shared" si="6"/>
        <v>610950</v>
      </c>
      <c r="G27" s="1">
        <f t="shared" si="6"/>
        <v>782370</v>
      </c>
      <c r="H27" s="1">
        <f t="shared" si="1"/>
        <v>-1432620</v>
      </c>
      <c r="I27" s="1"/>
      <c r="J27" s="13"/>
      <c r="K27" s="13"/>
      <c r="L27" s="13"/>
      <c r="M27" s="13"/>
    </row>
    <row r="28" spans="1:13">
      <c r="A28" t="s">
        <v>25</v>
      </c>
      <c r="C28" s="1">
        <f>'BS 2006-07'!F13</f>
        <v>-999000</v>
      </c>
      <c r="D28" s="1">
        <f>C29</f>
        <v>-4933800</v>
      </c>
      <c r="E28" s="1">
        <f t="shared" ref="E28:G28" si="7">D29</f>
        <v>-4392810</v>
      </c>
      <c r="F28" s="1">
        <f t="shared" si="7"/>
        <v>-3824940</v>
      </c>
      <c r="G28" s="1">
        <f t="shared" si="7"/>
        <v>-3213990</v>
      </c>
      <c r="H28" s="1">
        <f>C28</f>
        <v>-999000</v>
      </c>
      <c r="I28" s="1"/>
    </row>
    <row r="29" spans="1:13" ht="15" thickBot="1">
      <c r="A29" s="4" t="s">
        <v>26</v>
      </c>
      <c r="C29" s="120">
        <f>SUM(C27:C28)</f>
        <v>-4933800</v>
      </c>
      <c r="D29" s="120">
        <f t="shared" ref="D29:H29" si="8">SUM(D27:D28)</f>
        <v>-4392810</v>
      </c>
      <c r="E29" s="120">
        <f t="shared" si="8"/>
        <v>-3824940</v>
      </c>
      <c r="F29" s="120">
        <f t="shared" si="8"/>
        <v>-3213990</v>
      </c>
      <c r="G29" s="120">
        <f t="shared" si="8"/>
        <v>-2431620</v>
      </c>
      <c r="H29" s="120">
        <f t="shared" si="8"/>
        <v>-2431620</v>
      </c>
      <c r="I29" s="6"/>
    </row>
    <row r="30" spans="1:13" ht="15" thickTop="1"/>
  </sheetData>
  <mergeCells count="1">
    <mergeCell ref="C1:H1"/>
  </mergeCells>
  <phoneticPr fontId="10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Q85"/>
  <sheetViews>
    <sheetView workbookViewId="0">
      <selection activeCell="E21" sqref="E21:Q23"/>
    </sheetView>
  </sheetViews>
  <sheetFormatPr baseColWidth="10" defaultColWidth="8.83203125" defaultRowHeight="14"/>
  <cols>
    <col min="1" max="1" width="27.5" customWidth="1"/>
    <col min="2" max="2" width="32.33203125" customWidth="1"/>
    <col min="3" max="3" width="14.83203125" customWidth="1"/>
    <col min="4" max="4" width="14.6640625" customWidth="1"/>
    <col min="5" max="5" width="14.83203125" customWidth="1"/>
    <col min="6" max="6" width="14.5" customWidth="1"/>
    <col min="7" max="7" width="13.6640625" customWidth="1"/>
    <col min="8" max="8" width="12.83203125" customWidth="1"/>
    <col min="9" max="9" width="9.1640625" customWidth="1"/>
    <col min="17" max="17" width="11.5" customWidth="1"/>
  </cols>
  <sheetData>
    <row r="1" spans="1:17">
      <c r="A1" t="s">
        <v>304</v>
      </c>
      <c r="E1" t="s">
        <v>166</v>
      </c>
    </row>
    <row r="3" spans="1:17">
      <c r="A3" t="s">
        <v>173</v>
      </c>
      <c r="B3" t="s">
        <v>174</v>
      </c>
      <c r="E3" t="s">
        <v>305</v>
      </c>
      <c r="F3" t="s">
        <v>306</v>
      </c>
      <c r="G3" t="s">
        <v>307</v>
      </c>
      <c r="H3" t="s">
        <v>308</v>
      </c>
      <c r="I3" t="s">
        <v>309</v>
      </c>
      <c r="J3" t="s">
        <v>310</v>
      </c>
      <c r="K3" t="s">
        <v>311</v>
      </c>
      <c r="L3" t="s">
        <v>312</v>
      </c>
      <c r="M3" t="s">
        <v>313</v>
      </c>
      <c r="N3" t="s">
        <v>314</v>
      </c>
      <c r="O3" t="s">
        <v>315</v>
      </c>
      <c r="P3" t="s">
        <v>316</v>
      </c>
      <c r="Q3" t="s">
        <v>196</v>
      </c>
    </row>
    <row r="4" spans="1:17">
      <c r="A4" t="s">
        <v>317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f>SUM(E4:P4)</f>
        <v>24</v>
      </c>
    </row>
    <row r="5" spans="1:17">
      <c r="A5" t="s">
        <v>318</v>
      </c>
      <c r="E5" s="1"/>
      <c r="F5" s="1">
        <v>4</v>
      </c>
      <c r="G5" s="1"/>
      <c r="H5" s="1">
        <v>4</v>
      </c>
      <c r="I5" s="1"/>
      <c r="J5" s="1">
        <v>4</v>
      </c>
      <c r="K5" s="1"/>
      <c r="L5" s="1">
        <v>4</v>
      </c>
      <c r="M5" s="1"/>
      <c r="N5" s="1">
        <v>4</v>
      </c>
      <c r="O5" s="1"/>
      <c r="P5" s="1">
        <v>4</v>
      </c>
      <c r="Q5" s="1">
        <f>SUM(E5:P5)</f>
        <v>24</v>
      </c>
    </row>
    <row r="6" spans="1:17">
      <c r="A6" t="s">
        <v>165</v>
      </c>
      <c r="E6" s="26">
        <v>450000</v>
      </c>
      <c r="F6" s="1">
        <f>E6</f>
        <v>450000</v>
      </c>
      <c r="G6" s="1">
        <f t="shared" ref="G6:P6" si="0">F6</f>
        <v>450000</v>
      </c>
      <c r="H6" s="1">
        <f t="shared" si="0"/>
        <v>450000</v>
      </c>
      <c r="I6" s="1">
        <f t="shared" si="0"/>
        <v>450000</v>
      </c>
      <c r="J6" s="1">
        <f t="shared" si="0"/>
        <v>450000</v>
      </c>
      <c r="K6" s="1">
        <f t="shared" si="0"/>
        <v>450000</v>
      </c>
      <c r="L6" s="1">
        <f t="shared" si="0"/>
        <v>450000</v>
      </c>
      <c r="M6" s="1">
        <f t="shared" si="0"/>
        <v>450000</v>
      </c>
      <c r="N6" s="1">
        <f t="shared" si="0"/>
        <v>450000</v>
      </c>
      <c r="O6" s="1">
        <f t="shared" si="0"/>
        <v>450000</v>
      </c>
      <c r="P6" s="1">
        <f t="shared" si="0"/>
        <v>450000</v>
      </c>
      <c r="Q6" s="1">
        <f t="shared" ref="Q6:Q19" si="1">SUM(E6:P6)</f>
        <v>5400000</v>
      </c>
    </row>
    <row r="7" spans="1:17">
      <c r="A7" s="4" t="s">
        <v>197</v>
      </c>
      <c r="B7" s="4"/>
      <c r="C7" s="4"/>
      <c r="D7" s="4"/>
      <c r="E7" s="2">
        <f>E4*E6</f>
        <v>900000</v>
      </c>
      <c r="F7" s="2">
        <f t="shared" ref="F7:P7" si="2">F4*F6</f>
        <v>900000</v>
      </c>
      <c r="G7" s="2">
        <f t="shared" si="2"/>
        <v>900000</v>
      </c>
      <c r="H7" s="2">
        <f t="shared" si="2"/>
        <v>900000</v>
      </c>
      <c r="I7" s="2">
        <f t="shared" si="2"/>
        <v>900000</v>
      </c>
      <c r="J7" s="2">
        <f t="shared" si="2"/>
        <v>900000</v>
      </c>
      <c r="K7" s="2">
        <f t="shared" si="2"/>
        <v>900000</v>
      </c>
      <c r="L7" s="2">
        <f t="shared" si="2"/>
        <v>900000</v>
      </c>
      <c r="M7" s="2">
        <f t="shared" si="2"/>
        <v>900000</v>
      </c>
      <c r="N7" s="2">
        <f t="shared" si="2"/>
        <v>900000</v>
      </c>
      <c r="O7" s="2">
        <f t="shared" si="2"/>
        <v>900000</v>
      </c>
      <c r="P7" s="2">
        <f t="shared" si="2"/>
        <v>900000</v>
      </c>
      <c r="Q7" s="2">
        <f t="shared" si="1"/>
        <v>10800000</v>
      </c>
    </row>
    <row r="8" spans="1:17"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si="1"/>
        <v>0</v>
      </c>
    </row>
    <row r="9" spans="1:17">
      <c r="A9" t="s">
        <v>167</v>
      </c>
      <c r="E9" s="1"/>
      <c r="F9" s="1"/>
      <c r="G9" s="1"/>
      <c r="H9" s="1"/>
      <c r="I9" s="1"/>
      <c r="J9" s="1"/>
      <c r="K9" s="1"/>
      <c r="L9" s="1"/>
      <c r="M9" s="1" t="s">
        <v>8</v>
      </c>
      <c r="N9" s="1"/>
      <c r="O9" s="1"/>
      <c r="P9" s="1"/>
      <c r="Q9" s="1">
        <f t="shared" si="1"/>
        <v>0</v>
      </c>
    </row>
    <row r="10" spans="1:17">
      <c r="A10" t="s">
        <v>99</v>
      </c>
      <c r="B10" t="s">
        <v>172</v>
      </c>
      <c r="E10" s="1">
        <f>'Unit cost and price'!D3*2/1000</f>
        <v>384000</v>
      </c>
      <c r="F10" s="1">
        <f>E10</f>
        <v>384000</v>
      </c>
      <c r="G10" s="1">
        <f t="shared" ref="G10:P10" si="3">F10</f>
        <v>384000</v>
      </c>
      <c r="H10" s="1">
        <f t="shared" si="3"/>
        <v>384000</v>
      </c>
      <c r="I10" s="1">
        <f t="shared" si="3"/>
        <v>384000</v>
      </c>
      <c r="J10" s="1">
        <f t="shared" si="3"/>
        <v>384000</v>
      </c>
      <c r="K10" s="1">
        <f t="shared" si="3"/>
        <v>384000</v>
      </c>
      <c r="L10" s="1">
        <f t="shared" si="3"/>
        <v>384000</v>
      </c>
      <c r="M10" s="1">
        <f t="shared" si="3"/>
        <v>384000</v>
      </c>
      <c r="N10" s="1">
        <f t="shared" si="3"/>
        <v>384000</v>
      </c>
      <c r="O10" s="1">
        <f t="shared" si="3"/>
        <v>384000</v>
      </c>
      <c r="P10" s="1">
        <f t="shared" si="3"/>
        <v>384000</v>
      </c>
      <c r="Q10" s="1">
        <f t="shared" si="1"/>
        <v>4608000</v>
      </c>
    </row>
    <row r="11" spans="1:17">
      <c r="A11" t="s">
        <v>292</v>
      </c>
      <c r="B11" t="s">
        <v>157</v>
      </c>
      <c r="E11" s="1">
        <f>'Unit cost and price'!D4*2/1000</f>
        <v>120000</v>
      </c>
      <c r="F11" s="1">
        <f t="shared" ref="F11:P18" si="4">E11</f>
        <v>120000</v>
      </c>
      <c r="G11" s="1">
        <f t="shared" si="4"/>
        <v>120000</v>
      </c>
      <c r="H11" s="1">
        <f t="shared" si="4"/>
        <v>120000</v>
      </c>
      <c r="I11" s="1">
        <f t="shared" si="4"/>
        <v>120000</v>
      </c>
      <c r="J11" s="1">
        <f t="shared" si="4"/>
        <v>120000</v>
      </c>
      <c r="K11" s="1">
        <f t="shared" si="4"/>
        <v>120000</v>
      </c>
      <c r="L11" s="1">
        <f t="shared" si="4"/>
        <v>120000</v>
      </c>
      <c r="M11" s="1">
        <f t="shared" si="4"/>
        <v>120000</v>
      </c>
      <c r="N11" s="1">
        <f t="shared" si="4"/>
        <v>120000</v>
      </c>
      <c r="O11" s="1">
        <f t="shared" si="4"/>
        <v>120000</v>
      </c>
      <c r="P11" s="1">
        <f t="shared" si="4"/>
        <v>120000</v>
      </c>
      <c r="Q11" s="1">
        <f t="shared" si="1"/>
        <v>1440000</v>
      </c>
    </row>
    <row r="12" spans="1:17">
      <c r="A12" t="s">
        <v>102</v>
      </c>
      <c r="B12" t="s">
        <v>18</v>
      </c>
      <c r="C12" t="s">
        <v>17</v>
      </c>
      <c r="E12" s="26">
        <v>30000</v>
      </c>
      <c r="F12" s="1">
        <f t="shared" si="4"/>
        <v>30000</v>
      </c>
      <c r="G12" s="1">
        <f t="shared" si="4"/>
        <v>30000</v>
      </c>
      <c r="H12" s="1">
        <f t="shared" si="4"/>
        <v>30000</v>
      </c>
      <c r="I12" s="1">
        <f t="shared" si="4"/>
        <v>30000</v>
      </c>
      <c r="J12" s="1">
        <f t="shared" si="4"/>
        <v>30000</v>
      </c>
      <c r="K12" s="1">
        <f t="shared" si="4"/>
        <v>30000</v>
      </c>
      <c r="L12" s="1">
        <f t="shared" si="4"/>
        <v>30000</v>
      </c>
      <c r="M12" s="1">
        <f t="shared" si="4"/>
        <v>30000</v>
      </c>
      <c r="N12" s="1">
        <f t="shared" si="4"/>
        <v>30000</v>
      </c>
      <c r="O12" s="1">
        <f t="shared" si="4"/>
        <v>30000</v>
      </c>
      <c r="P12" s="1">
        <f t="shared" si="4"/>
        <v>30000</v>
      </c>
      <c r="Q12" s="1">
        <f t="shared" si="1"/>
        <v>360000</v>
      </c>
    </row>
    <row r="13" spans="1:17">
      <c r="A13" t="s">
        <v>192</v>
      </c>
      <c r="B13" t="s">
        <v>156</v>
      </c>
      <c r="E13" s="1">
        <f>'Unit cost and price'!D6*2/1000</f>
        <v>63000</v>
      </c>
      <c r="F13" s="1">
        <f t="shared" si="4"/>
        <v>63000</v>
      </c>
      <c r="G13" s="1">
        <f t="shared" si="4"/>
        <v>63000</v>
      </c>
      <c r="H13" s="1">
        <f t="shared" si="4"/>
        <v>63000</v>
      </c>
      <c r="I13" s="1">
        <f t="shared" si="4"/>
        <v>63000</v>
      </c>
      <c r="J13" s="1">
        <f t="shared" si="4"/>
        <v>63000</v>
      </c>
      <c r="K13" s="1">
        <f t="shared" si="4"/>
        <v>63000</v>
      </c>
      <c r="L13" s="1">
        <f t="shared" si="4"/>
        <v>63000</v>
      </c>
      <c r="M13" s="1">
        <f t="shared" si="4"/>
        <v>63000</v>
      </c>
      <c r="N13" s="1">
        <f t="shared" si="4"/>
        <v>63000</v>
      </c>
      <c r="O13" s="1">
        <f t="shared" si="4"/>
        <v>63000</v>
      </c>
      <c r="P13" s="1">
        <f t="shared" si="4"/>
        <v>63000</v>
      </c>
      <c r="Q13" s="1">
        <f t="shared" si="1"/>
        <v>756000</v>
      </c>
    </row>
    <row r="14" spans="1:17">
      <c r="A14" t="s">
        <v>200</v>
      </c>
      <c r="B14" t="s">
        <v>164</v>
      </c>
      <c r="E14" s="1">
        <f>'Unit cost and price'!D7*2/1000</f>
        <v>200000</v>
      </c>
      <c r="F14" s="1">
        <f t="shared" si="4"/>
        <v>200000</v>
      </c>
      <c r="G14" s="1">
        <f t="shared" si="4"/>
        <v>200000</v>
      </c>
      <c r="H14" s="1">
        <f t="shared" si="4"/>
        <v>200000</v>
      </c>
      <c r="I14" s="1">
        <f t="shared" si="4"/>
        <v>200000</v>
      </c>
      <c r="J14" s="1">
        <f t="shared" si="4"/>
        <v>200000</v>
      </c>
      <c r="K14" s="1">
        <f t="shared" si="4"/>
        <v>200000</v>
      </c>
      <c r="L14" s="1">
        <f t="shared" si="4"/>
        <v>200000</v>
      </c>
      <c r="M14" s="1">
        <f t="shared" si="4"/>
        <v>200000</v>
      </c>
      <c r="N14" s="1">
        <f t="shared" si="4"/>
        <v>200000</v>
      </c>
      <c r="O14" s="1">
        <f t="shared" si="4"/>
        <v>200000</v>
      </c>
      <c r="P14" s="1">
        <f t="shared" si="4"/>
        <v>200000</v>
      </c>
      <c r="Q14" s="1">
        <f t="shared" si="1"/>
        <v>2400000</v>
      </c>
    </row>
    <row r="15" spans="1:17">
      <c r="A15" t="s">
        <v>117</v>
      </c>
      <c r="B15" t="s">
        <v>159</v>
      </c>
      <c r="E15" s="1">
        <f>'Unit cost and price'!D8*2/1000</f>
        <v>15000</v>
      </c>
      <c r="F15" s="1">
        <f t="shared" si="4"/>
        <v>15000</v>
      </c>
      <c r="G15" s="1">
        <f t="shared" si="4"/>
        <v>15000</v>
      </c>
      <c r="H15" s="1">
        <f t="shared" si="4"/>
        <v>15000</v>
      </c>
      <c r="I15" s="1">
        <f t="shared" si="4"/>
        <v>15000</v>
      </c>
      <c r="J15" s="1">
        <f t="shared" si="4"/>
        <v>15000</v>
      </c>
      <c r="K15" s="1">
        <f t="shared" si="4"/>
        <v>15000</v>
      </c>
      <c r="L15" s="1">
        <f t="shared" si="4"/>
        <v>15000</v>
      </c>
      <c r="M15" s="1">
        <f t="shared" si="4"/>
        <v>15000</v>
      </c>
      <c r="N15" s="1">
        <f t="shared" si="4"/>
        <v>15000</v>
      </c>
      <c r="O15" s="1">
        <f t="shared" si="4"/>
        <v>15000</v>
      </c>
      <c r="P15" s="1">
        <f t="shared" si="4"/>
        <v>15000</v>
      </c>
      <c r="Q15" s="1">
        <f t="shared" si="1"/>
        <v>180000</v>
      </c>
    </row>
    <row r="16" spans="1:17">
      <c r="A16" t="s">
        <v>168</v>
      </c>
      <c r="B16" t="s">
        <v>19</v>
      </c>
      <c r="C16">
        <f>170000/(20*24)</f>
        <v>354.16666666666669</v>
      </c>
      <c r="E16" s="26">
        <v>708.33399999999995</v>
      </c>
      <c r="F16" s="1">
        <f t="shared" si="4"/>
        <v>708.33399999999995</v>
      </c>
      <c r="G16" s="1">
        <f t="shared" si="4"/>
        <v>708.33399999999995</v>
      </c>
      <c r="H16" s="1">
        <f t="shared" si="4"/>
        <v>708.33399999999995</v>
      </c>
      <c r="I16" s="1">
        <f t="shared" si="4"/>
        <v>708.33399999999995</v>
      </c>
      <c r="J16" s="1">
        <f t="shared" si="4"/>
        <v>708.33399999999995</v>
      </c>
      <c r="K16" s="1">
        <f t="shared" si="4"/>
        <v>708.33399999999995</v>
      </c>
      <c r="L16" s="1">
        <f t="shared" si="4"/>
        <v>708.33399999999995</v>
      </c>
      <c r="M16" s="1">
        <f t="shared" si="4"/>
        <v>708.33399999999995</v>
      </c>
      <c r="N16" s="1">
        <f t="shared" si="4"/>
        <v>708.33399999999995</v>
      </c>
      <c r="O16" s="1">
        <f t="shared" si="4"/>
        <v>708.33399999999995</v>
      </c>
      <c r="P16" s="1">
        <f t="shared" si="4"/>
        <v>708.33399999999995</v>
      </c>
      <c r="Q16" s="1">
        <f t="shared" si="1"/>
        <v>8500.0079999999998</v>
      </c>
    </row>
    <row r="17" spans="1:17">
      <c r="A17" t="s">
        <v>169</v>
      </c>
      <c r="B17" t="s">
        <v>32</v>
      </c>
      <c r="E17" s="1">
        <f>'Unit cost and price'!D11*2/1000</f>
        <v>2500</v>
      </c>
      <c r="F17" s="1">
        <f t="shared" si="4"/>
        <v>2500</v>
      </c>
      <c r="G17" s="1">
        <f t="shared" si="4"/>
        <v>2500</v>
      </c>
      <c r="H17" s="1">
        <f t="shared" si="4"/>
        <v>2500</v>
      </c>
      <c r="I17" s="1">
        <f t="shared" si="4"/>
        <v>2500</v>
      </c>
      <c r="J17" s="1">
        <f t="shared" si="4"/>
        <v>2500</v>
      </c>
      <c r="K17" s="1">
        <f t="shared" si="4"/>
        <v>2500</v>
      </c>
      <c r="L17" s="1">
        <f t="shared" si="4"/>
        <v>2500</v>
      </c>
      <c r="M17" s="1">
        <f t="shared" si="4"/>
        <v>2500</v>
      </c>
      <c r="N17" s="1">
        <f t="shared" si="4"/>
        <v>2500</v>
      </c>
      <c r="O17" s="1">
        <f t="shared" si="4"/>
        <v>2500</v>
      </c>
      <c r="P17" s="1">
        <f t="shared" si="4"/>
        <v>2500</v>
      </c>
      <c r="Q17" s="1">
        <f t="shared" si="1"/>
        <v>30000</v>
      </c>
    </row>
    <row r="18" spans="1:17">
      <c r="A18" t="s">
        <v>177</v>
      </c>
      <c r="E18" s="26">
        <f>L35</f>
        <v>10900</v>
      </c>
      <c r="F18" s="26">
        <f>E18</f>
        <v>10900</v>
      </c>
      <c r="G18" s="26">
        <f t="shared" si="4"/>
        <v>10900</v>
      </c>
      <c r="H18" s="26">
        <f t="shared" si="4"/>
        <v>10900</v>
      </c>
      <c r="I18" s="26">
        <f t="shared" si="4"/>
        <v>10900</v>
      </c>
      <c r="J18" s="26">
        <f t="shared" si="4"/>
        <v>10900</v>
      </c>
      <c r="K18" s="26">
        <f t="shared" si="4"/>
        <v>10900</v>
      </c>
      <c r="L18" s="26">
        <f t="shared" si="4"/>
        <v>10900</v>
      </c>
      <c r="M18" s="26">
        <f t="shared" si="4"/>
        <v>10900</v>
      </c>
      <c r="N18" s="26">
        <f t="shared" si="4"/>
        <v>10900</v>
      </c>
      <c r="O18" s="26">
        <f t="shared" si="4"/>
        <v>10900</v>
      </c>
      <c r="P18" s="26">
        <f t="shared" si="4"/>
        <v>10900</v>
      </c>
      <c r="Q18" s="26">
        <f t="shared" si="1"/>
        <v>130800</v>
      </c>
    </row>
    <row r="19" spans="1:17">
      <c r="A19" s="4" t="s">
        <v>330</v>
      </c>
      <c r="B19" s="4"/>
      <c r="C19" s="4"/>
      <c r="D19" s="4"/>
      <c r="E19" s="2">
        <f t="shared" ref="E19:P19" si="5">SUM(E10:E18)</f>
        <v>826108.33400000003</v>
      </c>
      <c r="F19" s="2">
        <f t="shared" si="5"/>
        <v>826108.33400000003</v>
      </c>
      <c r="G19" s="2">
        <f t="shared" si="5"/>
        <v>826108.33400000003</v>
      </c>
      <c r="H19" s="2">
        <f t="shared" si="5"/>
        <v>826108.33400000003</v>
      </c>
      <c r="I19" s="2">
        <f t="shared" si="5"/>
        <v>826108.33400000003</v>
      </c>
      <c r="J19" s="2">
        <f t="shared" si="5"/>
        <v>826108.33400000003</v>
      </c>
      <c r="K19" s="2">
        <f t="shared" si="5"/>
        <v>826108.33400000003</v>
      </c>
      <c r="L19" s="2">
        <f t="shared" si="5"/>
        <v>826108.33400000003</v>
      </c>
      <c r="M19" s="2">
        <f t="shared" si="5"/>
        <v>826108.33400000003</v>
      </c>
      <c r="N19" s="2">
        <f t="shared" si="5"/>
        <v>826108.33400000003</v>
      </c>
      <c r="O19" s="2">
        <f t="shared" si="5"/>
        <v>826108.33400000003</v>
      </c>
      <c r="P19" s="2">
        <f t="shared" si="5"/>
        <v>826108.33400000003</v>
      </c>
      <c r="Q19" s="2">
        <f t="shared" si="1"/>
        <v>9913300.0079999994</v>
      </c>
    </row>
    <row r="20" spans="1:17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4" t="s">
        <v>338</v>
      </c>
      <c r="B21" s="4"/>
      <c r="C21" s="4"/>
      <c r="D21" s="4"/>
      <c r="E21" s="2">
        <f>E7-E19</f>
        <v>73891.665999999968</v>
      </c>
      <c r="F21" s="2">
        <f t="shared" ref="F21:P21" si="6">F7-F19</f>
        <v>73891.665999999968</v>
      </c>
      <c r="G21" s="2">
        <f t="shared" si="6"/>
        <v>73891.665999999968</v>
      </c>
      <c r="H21" s="2">
        <f t="shared" si="6"/>
        <v>73891.665999999968</v>
      </c>
      <c r="I21" s="2">
        <f t="shared" si="6"/>
        <v>73891.665999999968</v>
      </c>
      <c r="J21" s="2">
        <f t="shared" si="6"/>
        <v>73891.665999999968</v>
      </c>
      <c r="K21" s="2">
        <f t="shared" si="6"/>
        <v>73891.665999999968</v>
      </c>
      <c r="L21" s="2">
        <f t="shared" si="6"/>
        <v>73891.665999999968</v>
      </c>
      <c r="M21" s="2">
        <f t="shared" si="6"/>
        <v>73891.665999999968</v>
      </c>
      <c r="N21" s="2">
        <f t="shared" si="6"/>
        <v>73891.665999999968</v>
      </c>
      <c r="O21" s="2">
        <f t="shared" si="6"/>
        <v>73891.665999999968</v>
      </c>
      <c r="P21" s="2">
        <f t="shared" si="6"/>
        <v>73891.665999999968</v>
      </c>
      <c r="Q21" s="2">
        <f>SUM(E21:P21)</f>
        <v>886699.99199999962</v>
      </c>
    </row>
    <row r="22" spans="1:17">
      <c r="A22" t="s">
        <v>39</v>
      </c>
      <c r="E22" s="1">
        <f>E21*0.3</f>
        <v>22167.499799999991</v>
      </c>
      <c r="F22" s="1">
        <f t="shared" ref="F22:Q22" si="7">F21*0.3</f>
        <v>22167.499799999991</v>
      </c>
      <c r="G22" s="1">
        <f t="shared" si="7"/>
        <v>22167.499799999991</v>
      </c>
      <c r="H22" s="1">
        <f t="shared" si="7"/>
        <v>22167.499799999991</v>
      </c>
      <c r="I22" s="1">
        <f t="shared" si="7"/>
        <v>22167.499799999991</v>
      </c>
      <c r="J22" s="1">
        <f t="shared" si="7"/>
        <v>22167.499799999991</v>
      </c>
      <c r="K22" s="1">
        <f t="shared" si="7"/>
        <v>22167.499799999991</v>
      </c>
      <c r="L22" s="1">
        <f t="shared" si="7"/>
        <v>22167.499799999991</v>
      </c>
      <c r="M22" s="1">
        <f t="shared" si="7"/>
        <v>22167.499799999991</v>
      </c>
      <c r="N22" s="1">
        <f t="shared" si="7"/>
        <v>22167.499799999991</v>
      </c>
      <c r="O22" s="1">
        <f t="shared" si="7"/>
        <v>22167.499799999991</v>
      </c>
      <c r="P22" s="1">
        <f t="shared" si="7"/>
        <v>22167.499799999991</v>
      </c>
      <c r="Q22" s="1">
        <f t="shared" si="7"/>
        <v>266009.99759999989</v>
      </c>
    </row>
    <row r="23" spans="1:17">
      <c r="A23" s="4" t="s">
        <v>208</v>
      </c>
      <c r="E23" s="3">
        <f>E21-E22</f>
        <v>51724.166199999978</v>
      </c>
      <c r="F23" s="3">
        <f t="shared" ref="F23:Q23" si="8">F21-F22</f>
        <v>51724.166199999978</v>
      </c>
      <c r="G23" s="3">
        <f t="shared" si="8"/>
        <v>51724.166199999978</v>
      </c>
      <c r="H23" s="3">
        <f t="shared" si="8"/>
        <v>51724.166199999978</v>
      </c>
      <c r="I23" s="3">
        <f t="shared" si="8"/>
        <v>51724.166199999978</v>
      </c>
      <c r="J23" s="3">
        <f t="shared" si="8"/>
        <v>51724.166199999978</v>
      </c>
      <c r="K23" s="3">
        <f t="shared" si="8"/>
        <v>51724.166199999978</v>
      </c>
      <c r="L23" s="3">
        <f t="shared" si="8"/>
        <v>51724.166199999978</v>
      </c>
      <c r="M23" s="3">
        <f t="shared" si="8"/>
        <v>51724.166199999978</v>
      </c>
      <c r="N23" s="3">
        <f t="shared" si="8"/>
        <v>51724.166199999978</v>
      </c>
      <c r="O23" s="3">
        <f t="shared" si="8"/>
        <v>51724.166199999978</v>
      </c>
      <c r="P23" s="3">
        <f t="shared" si="8"/>
        <v>51724.166199999978</v>
      </c>
      <c r="Q23" s="3">
        <f t="shared" si="8"/>
        <v>620689.99439999973</v>
      </c>
    </row>
    <row r="24" spans="1:17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4" t="s">
        <v>210</v>
      </c>
      <c r="B25" t="s">
        <v>209</v>
      </c>
      <c r="C25" s="21">
        <f>Q23*100/3600000</f>
        <v>17.241388733333327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D27" s="16"/>
      <c r="E27" s="1" t="s">
        <v>215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E31" s="16"/>
      <c r="F31" s="16"/>
      <c r="G31" s="16"/>
      <c r="H31" s="16" t="s">
        <v>267</v>
      </c>
      <c r="I31" s="16"/>
      <c r="J31" s="16"/>
      <c r="K31" s="16"/>
      <c r="L31" s="16"/>
      <c r="M31" s="1"/>
      <c r="N31" s="1"/>
      <c r="O31" s="1"/>
      <c r="P31" s="1"/>
      <c r="Q31" s="1"/>
    </row>
    <row r="32" spans="1:17">
      <c r="E32" s="16" t="s">
        <v>216</v>
      </c>
      <c r="F32" s="33"/>
      <c r="G32" s="16"/>
      <c r="H32" s="33">
        <v>750000</v>
      </c>
      <c r="I32" s="16"/>
      <c r="J32" s="16"/>
      <c r="K32" s="16"/>
      <c r="L32" s="16"/>
      <c r="M32" s="1"/>
      <c r="N32" s="1"/>
      <c r="O32" s="1"/>
      <c r="P32" s="1"/>
      <c r="Q32" s="1"/>
    </row>
    <row r="33" spans="5:17">
      <c r="E33" s="16" t="s">
        <v>4</v>
      </c>
      <c r="F33" s="16"/>
      <c r="G33" s="16"/>
      <c r="H33" s="33">
        <v>16000</v>
      </c>
      <c r="I33" s="16"/>
      <c r="J33" s="16"/>
      <c r="K33" s="16"/>
      <c r="L33" s="16"/>
      <c r="M33" s="1"/>
      <c r="N33" s="1">
        <f>16*12</f>
        <v>192</v>
      </c>
      <c r="O33" s="1"/>
      <c r="P33" s="1"/>
      <c r="Q33" s="1"/>
    </row>
    <row r="34" spans="5:17">
      <c r="E34" s="16" t="s">
        <v>217</v>
      </c>
      <c r="F34" s="16"/>
      <c r="G34" s="16" t="s">
        <v>264</v>
      </c>
      <c r="H34" s="16" t="s">
        <v>223</v>
      </c>
      <c r="I34" s="16" t="s">
        <v>224</v>
      </c>
      <c r="J34" s="16" t="s">
        <v>225</v>
      </c>
      <c r="K34" s="16" t="s">
        <v>227</v>
      </c>
      <c r="L34" s="16" t="s">
        <v>226</v>
      </c>
      <c r="M34" s="1"/>
      <c r="N34" s="1"/>
      <c r="O34" s="1"/>
      <c r="P34" s="1"/>
      <c r="Q34" s="1"/>
    </row>
    <row r="35" spans="5:17">
      <c r="E35" s="16"/>
      <c r="F35" s="16"/>
      <c r="G35" s="16" t="s">
        <v>218</v>
      </c>
      <c r="H35" s="26">
        <v>750000</v>
      </c>
      <c r="I35" s="26">
        <v>192000</v>
      </c>
      <c r="J35" s="26">
        <f>H35-I35</f>
        <v>558000</v>
      </c>
      <c r="K35" s="26">
        <f>(H35+J35)/2*0.2</f>
        <v>130800</v>
      </c>
      <c r="L35" s="26">
        <f>K35/12</f>
        <v>10900</v>
      </c>
      <c r="M35" s="1"/>
      <c r="N35" s="1"/>
      <c r="O35" s="1"/>
      <c r="P35" s="1"/>
      <c r="Q35" s="1"/>
    </row>
    <row r="36" spans="5:17">
      <c r="E36" s="16"/>
      <c r="F36" s="16"/>
      <c r="G36" s="16" t="s">
        <v>219</v>
      </c>
      <c r="H36" s="26">
        <f>J35</f>
        <v>558000</v>
      </c>
      <c r="I36" s="26">
        <f>I35</f>
        <v>192000</v>
      </c>
      <c r="J36" s="26">
        <f t="shared" ref="J36:J39" si="9">H36-I36</f>
        <v>366000</v>
      </c>
      <c r="K36" s="26">
        <f t="shared" ref="K36:K39" si="10">(H36+J36)/2*0.2</f>
        <v>92400</v>
      </c>
      <c r="L36" s="26">
        <f t="shared" ref="L36:L40" si="11">K36/12</f>
        <v>7700</v>
      </c>
      <c r="M36" s="1"/>
      <c r="N36" s="1"/>
      <c r="O36" s="1"/>
      <c r="P36" s="1"/>
      <c r="Q36" s="1"/>
    </row>
    <row r="37" spans="5:17">
      <c r="E37" s="16"/>
      <c r="F37" s="16"/>
      <c r="G37" s="16" t="s">
        <v>220</v>
      </c>
      <c r="H37" s="26">
        <f t="shared" ref="H37:H39" si="12">J36</f>
        <v>366000</v>
      </c>
      <c r="I37" s="26">
        <f>I36</f>
        <v>192000</v>
      </c>
      <c r="J37" s="26">
        <f t="shared" si="9"/>
        <v>174000</v>
      </c>
      <c r="K37" s="26">
        <f t="shared" si="10"/>
        <v>54000</v>
      </c>
      <c r="L37" s="26">
        <f t="shared" si="11"/>
        <v>4500</v>
      </c>
      <c r="M37" s="1"/>
      <c r="N37" s="1"/>
      <c r="O37" s="1"/>
      <c r="P37" s="1"/>
      <c r="Q37" s="1"/>
    </row>
    <row r="38" spans="5:17">
      <c r="E38" s="16"/>
      <c r="F38" s="16"/>
      <c r="G38" s="16" t="s">
        <v>221</v>
      </c>
      <c r="H38" s="26">
        <f t="shared" si="12"/>
        <v>174000</v>
      </c>
      <c r="I38" s="26">
        <v>174000</v>
      </c>
      <c r="J38" s="26">
        <f t="shared" si="9"/>
        <v>0</v>
      </c>
      <c r="K38" s="26">
        <f t="shared" si="10"/>
        <v>17400</v>
      </c>
      <c r="L38" s="26">
        <f t="shared" si="11"/>
        <v>1450</v>
      </c>
      <c r="M38" s="1"/>
      <c r="N38" s="1"/>
      <c r="O38" s="1"/>
      <c r="P38" s="1"/>
      <c r="Q38" s="1"/>
    </row>
    <row r="39" spans="5:17">
      <c r="E39" s="16"/>
      <c r="F39" s="16"/>
      <c r="G39" s="16" t="s">
        <v>222</v>
      </c>
      <c r="H39" s="26">
        <f t="shared" si="12"/>
        <v>0</v>
      </c>
      <c r="I39" s="26">
        <v>0</v>
      </c>
      <c r="J39" s="26">
        <f t="shared" si="9"/>
        <v>0</v>
      </c>
      <c r="K39" s="26">
        <f t="shared" si="10"/>
        <v>0</v>
      </c>
      <c r="L39" s="26">
        <f t="shared" si="11"/>
        <v>0</v>
      </c>
      <c r="M39" s="1"/>
      <c r="N39" s="1"/>
      <c r="O39" s="1"/>
      <c r="P39" s="1"/>
      <c r="Q39" s="1"/>
    </row>
    <row r="40" spans="5:17">
      <c r="E40" s="16"/>
      <c r="F40" s="16"/>
      <c r="G40" s="16"/>
      <c r="H40" s="16"/>
      <c r="I40" s="38">
        <f>SUM(I35:I39)</f>
        <v>750000</v>
      </c>
      <c r="J40" s="16"/>
      <c r="K40" s="38">
        <f>SUM(K35:K39)</f>
        <v>294600</v>
      </c>
      <c r="L40" s="16">
        <f t="shared" si="11"/>
        <v>24550</v>
      </c>
    </row>
    <row r="51" spans="1:8" ht="18">
      <c r="C51" s="127" t="s">
        <v>212</v>
      </c>
      <c r="D51" s="127"/>
      <c r="E51" s="127"/>
      <c r="F51" s="127"/>
      <c r="G51" s="127"/>
      <c r="H51" s="127"/>
    </row>
    <row r="52" spans="1:8">
      <c r="A52" t="s">
        <v>264</v>
      </c>
      <c r="C52" t="s">
        <v>103</v>
      </c>
      <c r="D52" t="s">
        <v>104</v>
      </c>
      <c r="E52" t="s">
        <v>105</v>
      </c>
      <c r="F52" t="s">
        <v>106</v>
      </c>
      <c r="G52" t="s">
        <v>107</v>
      </c>
      <c r="H52" t="s">
        <v>196</v>
      </c>
    </row>
    <row r="53" spans="1:8">
      <c r="A53" t="s">
        <v>108</v>
      </c>
      <c r="B53">
        <v>0</v>
      </c>
      <c r="C53">
        <v>24</v>
      </c>
      <c r="D53">
        <v>24</v>
      </c>
      <c r="E53">
        <v>24</v>
      </c>
      <c r="F53">
        <v>24</v>
      </c>
      <c r="G53">
        <v>24</v>
      </c>
      <c r="H53" s="1">
        <f>SUM(B53:G53)</f>
        <v>120</v>
      </c>
    </row>
    <row r="54" spans="1:8">
      <c r="A54" t="s">
        <v>109</v>
      </c>
      <c r="B54" s="17" t="s">
        <v>111</v>
      </c>
      <c r="C54" s="12">
        <f>E6</f>
        <v>450000</v>
      </c>
      <c r="D54" s="11">
        <f>C54</f>
        <v>450000</v>
      </c>
      <c r="E54" s="11">
        <f>D54</f>
        <v>450000</v>
      </c>
      <c r="F54" s="11">
        <f>E54</f>
        <v>450000</v>
      </c>
      <c r="G54" s="11">
        <f>F54</f>
        <v>450000</v>
      </c>
      <c r="H54" s="1">
        <f t="shared" ref="H54:H55" si="13">SUM(B54:G54)</f>
        <v>2250000</v>
      </c>
    </row>
    <row r="55" spans="1:8">
      <c r="A55" t="s">
        <v>211</v>
      </c>
      <c r="C55" s="11">
        <f>C54*C53</f>
        <v>10800000</v>
      </c>
      <c r="D55" s="11">
        <f t="shared" ref="D55:G55" si="14">D54*D53</f>
        <v>10800000</v>
      </c>
      <c r="E55" s="11">
        <f t="shared" si="14"/>
        <v>10800000</v>
      </c>
      <c r="F55" s="11">
        <f t="shared" si="14"/>
        <v>10800000</v>
      </c>
      <c r="G55" s="11">
        <f t="shared" si="14"/>
        <v>10800000</v>
      </c>
      <c r="H55" s="1">
        <f t="shared" si="13"/>
        <v>54000000</v>
      </c>
    </row>
    <row r="56" spans="1:8">
      <c r="A56" s="4" t="s">
        <v>167</v>
      </c>
      <c r="C56" s="11"/>
      <c r="D56" s="11"/>
      <c r="E56" s="11"/>
      <c r="F56" s="11"/>
      <c r="G56" s="11"/>
      <c r="H56" s="8"/>
    </row>
    <row r="57" spans="1:8">
      <c r="A57" t="s">
        <v>99</v>
      </c>
      <c r="B57" t="s">
        <v>172</v>
      </c>
      <c r="C57" s="24">
        <f>8000*24*20*1.2</f>
        <v>4608000</v>
      </c>
      <c r="D57" s="24">
        <f t="shared" ref="D57:G64" si="15">C57</f>
        <v>4608000</v>
      </c>
      <c r="E57" s="24">
        <f t="shared" si="15"/>
        <v>4608000</v>
      </c>
      <c r="F57" s="24">
        <f t="shared" si="15"/>
        <v>4608000</v>
      </c>
      <c r="G57" s="24">
        <f t="shared" si="15"/>
        <v>4608000</v>
      </c>
      <c r="H57" s="29">
        <f t="shared" ref="H57:H64" si="16">SUM(B57:G57)</f>
        <v>23040000</v>
      </c>
    </row>
    <row r="58" spans="1:8">
      <c r="A58" t="s">
        <v>292</v>
      </c>
      <c r="B58" t="s">
        <v>157</v>
      </c>
      <c r="C58" s="24">
        <f>60000*24</f>
        <v>1440000</v>
      </c>
      <c r="D58" s="24">
        <f t="shared" si="15"/>
        <v>1440000</v>
      </c>
      <c r="E58" s="11">
        <f t="shared" si="15"/>
        <v>1440000</v>
      </c>
      <c r="F58" s="11">
        <f t="shared" si="15"/>
        <v>1440000</v>
      </c>
      <c r="G58" s="11">
        <f t="shared" si="15"/>
        <v>1440000</v>
      </c>
      <c r="H58" s="1">
        <f t="shared" si="16"/>
        <v>7200000</v>
      </c>
    </row>
    <row r="59" spans="1:8">
      <c r="A59" t="s">
        <v>102</v>
      </c>
      <c r="B59" t="s">
        <v>18</v>
      </c>
      <c r="C59" s="28">
        <f>Q12</f>
        <v>360000</v>
      </c>
      <c r="D59" s="11">
        <f t="shared" si="15"/>
        <v>360000</v>
      </c>
      <c r="E59" s="11">
        <f t="shared" si="15"/>
        <v>360000</v>
      </c>
      <c r="F59" s="11">
        <f t="shared" si="15"/>
        <v>360000</v>
      </c>
      <c r="G59" s="11">
        <f t="shared" si="15"/>
        <v>360000</v>
      </c>
      <c r="H59" s="1">
        <f t="shared" si="16"/>
        <v>1800000</v>
      </c>
    </row>
    <row r="60" spans="1:8">
      <c r="A60" t="s">
        <v>192</v>
      </c>
      <c r="B60" t="s">
        <v>156</v>
      </c>
      <c r="C60" s="24">
        <f>9*3500*24</f>
        <v>756000</v>
      </c>
      <c r="D60" s="11">
        <f t="shared" si="15"/>
        <v>756000</v>
      </c>
      <c r="E60" s="11">
        <f t="shared" si="15"/>
        <v>756000</v>
      </c>
      <c r="F60" s="11">
        <f>E60</f>
        <v>756000</v>
      </c>
      <c r="G60" s="11">
        <f t="shared" si="15"/>
        <v>756000</v>
      </c>
      <c r="H60" s="1">
        <f t="shared" si="16"/>
        <v>3780000</v>
      </c>
    </row>
    <row r="61" spans="1:8">
      <c r="A61" t="s">
        <v>200</v>
      </c>
      <c r="B61" t="s">
        <v>164</v>
      </c>
      <c r="C61" s="28">
        <f>100000*24</f>
        <v>2400000</v>
      </c>
      <c r="D61" s="11">
        <f t="shared" si="15"/>
        <v>2400000</v>
      </c>
      <c r="E61" s="11">
        <f t="shared" si="15"/>
        <v>2400000</v>
      </c>
      <c r="F61" s="11">
        <f t="shared" si="15"/>
        <v>2400000</v>
      </c>
      <c r="G61" s="11">
        <f t="shared" si="15"/>
        <v>2400000</v>
      </c>
      <c r="H61" s="1">
        <f t="shared" si="16"/>
        <v>12000000</v>
      </c>
    </row>
    <row r="62" spans="1:8">
      <c r="A62" t="s">
        <v>117</v>
      </c>
      <c r="B62" t="s">
        <v>159</v>
      </c>
      <c r="C62" s="24">
        <f>15000*12</f>
        <v>180000</v>
      </c>
      <c r="D62" s="11">
        <f t="shared" si="15"/>
        <v>180000</v>
      </c>
      <c r="E62" s="11">
        <f t="shared" si="15"/>
        <v>180000</v>
      </c>
      <c r="F62" s="11">
        <f t="shared" si="15"/>
        <v>180000</v>
      </c>
      <c r="G62" s="11">
        <f t="shared" si="15"/>
        <v>180000</v>
      </c>
      <c r="H62" s="1">
        <f t="shared" si="16"/>
        <v>900000</v>
      </c>
    </row>
    <row r="63" spans="1:8">
      <c r="A63" t="s">
        <v>168</v>
      </c>
      <c r="B63" t="s">
        <v>118</v>
      </c>
      <c r="C63" s="24">
        <f>Q16</f>
        <v>8500.0079999999998</v>
      </c>
      <c r="D63" s="11">
        <f t="shared" si="15"/>
        <v>8500.0079999999998</v>
      </c>
      <c r="E63" s="11">
        <f t="shared" si="15"/>
        <v>8500.0079999999998</v>
      </c>
      <c r="F63" s="11">
        <f t="shared" si="15"/>
        <v>8500.0079999999998</v>
      </c>
      <c r="G63" s="11">
        <f t="shared" si="15"/>
        <v>8500.0079999999998</v>
      </c>
      <c r="H63" s="1">
        <f t="shared" si="16"/>
        <v>42500.04</v>
      </c>
    </row>
    <row r="64" spans="1:8">
      <c r="A64" t="s">
        <v>169</v>
      </c>
      <c r="B64" t="s">
        <v>32</v>
      </c>
      <c r="C64" s="24">
        <f>1250*24</f>
        <v>30000</v>
      </c>
      <c r="D64" s="11">
        <f t="shared" si="15"/>
        <v>30000</v>
      </c>
      <c r="E64" s="11">
        <f t="shared" si="15"/>
        <v>30000</v>
      </c>
      <c r="F64" s="11">
        <v>0</v>
      </c>
      <c r="G64" s="11">
        <f>E74</f>
        <v>0</v>
      </c>
      <c r="H64" s="1">
        <f t="shared" si="16"/>
        <v>90000</v>
      </c>
    </row>
    <row r="65" spans="1:8">
      <c r="A65" t="s">
        <v>177</v>
      </c>
      <c r="C65" s="12">
        <f>K35</f>
        <v>130800</v>
      </c>
      <c r="D65" s="12">
        <f>K36</f>
        <v>92400</v>
      </c>
      <c r="E65" s="12">
        <f>K37</f>
        <v>54000</v>
      </c>
      <c r="F65" s="12">
        <f>K38</f>
        <v>17400</v>
      </c>
      <c r="G65" s="38">
        <f>K39</f>
        <v>0</v>
      </c>
      <c r="H65" s="26">
        <f>SUM(B65:F65)</f>
        <v>294600</v>
      </c>
    </row>
    <row r="66" spans="1:8">
      <c r="A66" s="4" t="s">
        <v>330</v>
      </c>
      <c r="B66" s="4"/>
      <c r="C66" s="11">
        <f t="shared" ref="C66:H66" si="17">SUM(C57:C65)</f>
        <v>9913300.0079999994</v>
      </c>
      <c r="D66" s="11">
        <f t="shared" si="17"/>
        <v>9874900.0079999994</v>
      </c>
      <c r="E66" s="11">
        <f>SUM(E57:E65)</f>
        <v>9836500.0079999994</v>
      </c>
      <c r="F66" s="11">
        <f>SUM(F57:F65)</f>
        <v>9769900.0079999994</v>
      </c>
      <c r="G66" s="11">
        <f t="shared" si="17"/>
        <v>9752500.0079999994</v>
      </c>
      <c r="H66" s="8">
        <f t="shared" si="17"/>
        <v>49147100.039999999</v>
      </c>
    </row>
    <row r="67" spans="1:8">
      <c r="A67" s="4" t="s">
        <v>338</v>
      </c>
      <c r="B67" s="4"/>
      <c r="C67" s="24">
        <f t="shared" ref="C67:H67" si="18">C55-C66</f>
        <v>886699.99200000055</v>
      </c>
      <c r="D67" s="24">
        <f t="shared" si="18"/>
        <v>925099.99200000055</v>
      </c>
      <c r="E67" s="24">
        <f t="shared" si="18"/>
        <v>963499.99200000055</v>
      </c>
      <c r="F67" s="24">
        <f t="shared" si="18"/>
        <v>1030099.9920000006</v>
      </c>
      <c r="G67" s="24">
        <f t="shared" si="18"/>
        <v>1047499.9920000006</v>
      </c>
      <c r="H67" s="24">
        <f t="shared" si="18"/>
        <v>4852899.9600000009</v>
      </c>
    </row>
    <row r="68" spans="1:8">
      <c r="A68" t="s">
        <v>39</v>
      </c>
      <c r="C68" s="11">
        <f>C67*0.3</f>
        <v>266009.99760000018</v>
      </c>
      <c r="D68" s="11">
        <f t="shared" ref="D68:H68" si="19">D67*0.3</f>
        <v>277529.99760000018</v>
      </c>
      <c r="E68" s="11">
        <f t="shared" si="19"/>
        <v>289049.99760000018</v>
      </c>
      <c r="F68" s="11">
        <f t="shared" si="19"/>
        <v>309029.99760000018</v>
      </c>
      <c r="G68" s="11">
        <f t="shared" si="19"/>
        <v>314249.99760000018</v>
      </c>
      <c r="H68" s="11">
        <f t="shared" si="19"/>
        <v>1455869.9880000001</v>
      </c>
    </row>
    <row r="69" spans="1:8">
      <c r="A69" s="4" t="s">
        <v>208</v>
      </c>
      <c r="C69" s="22">
        <f>C67-C68</f>
        <v>620689.99440000043</v>
      </c>
      <c r="D69" s="22">
        <f t="shared" ref="D69:H69" si="20">D67-D68</f>
        <v>647569.99440000043</v>
      </c>
      <c r="E69" s="22">
        <f t="shared" si="20"/>
        <v>674449.99440000043</v>
      </c>
      <c r="F69" s="22">
        <f t="shared" si="20"/>
        <v>721069.99440000043</v>
      </c>
      <c r="G69" s="22">
        <f t="shared" si="20"/>
        <v>733249.99440000043</v>
      </c>
      <c r="H69" s="22">
        <f t="shared" si="20"/>
        <v>3397029.972000001</v>
      </c>
    </row>
    <row r="70" spans="1:8">
      <c r="C70" s="11"/>
      <c r="D70" s="11"/>
      <c r="E70" s="11"/>
      <c r="F70" s="11"/>
      <c r="G70" s="11"/>
      <c r="H70" s="8"/>
    </row>
    <row r="71" spans="1:8">
      <c r="A71" s="4"/>
      <c r="C71" s="11"/>
      <c r="D71" s="11"/>
      <c r="E71" s="11"/>
      <c r="F71" s="11"/>
      <c r="G71" s="11"/>
      <c r="H71" s="8"/>
    </row>
    <row r="72" spans="1:8">
      <c r="A72" s="4"/>
      <c r="B72" s="4" t="s">
        <v>86</v>
      </c>
      <c r="C72" s="23" t="s">
        <v>87</v>
      </c>
      <c r="E72">
        <f>345.167*12</f>
        <v>4142.0039999999999</v>
      </c>
      <c r="H72" s="1"/>
    </row>
    <row r="73" spans="1:8">
      <c r="A73" s="4"/>
      <c r="B73" t="s">
        <v>88</v>
      </c>
      <c r="C73" s="39">
        <f>C69/('BS 2006-07'!G23+'BS 2006-07'!G24)*100</f>
        <v>8.7779662621977153</v>
      </c>
      <c r="H73" s="1"/>
    </row>
    <row r="74" spans="1:8">
      <c r="B74" t="s">
        <v>228</v>
      </c>
      <c r="C74" s="13">
        <f>C55</f>
        <v>10800000</v>
      </c>
      <c r="H74" s="1"/>
    </row>
    <row r="75" spans="1:8">
      <c r="B75" t="s">
        <v>229</v>
      </c>
      <c r="C75" s="13">
        <f>C54</f>
        <v>450000</v>
      </c>
      <c r="H75" s="1"/>
    </row>
    <row r="76" spans="1:8">
      <c r="B76" t="s">
        <v>230</v>
      </c>
      <c r="C76" s="13">
        <f>C66/C53</f>
        <v>413054.16699999996</v>
      </c>
      <c r="H76" s="1"/>
    </row>
    <row r="77" spans="1:8">
      <c r="B77" t="s">
        <v>232</v>
      </c>
      <c r="C77" s="13">
        <f>SUM(C57:C60)/C53</f>
        <v>298500</v>
      </c>
      <c r="H77" s="1"/>
    </row>
    <row r="78" spans="1:8">
      <c r="B78" t="s">
        <v>231</v>
      </c>
      <c r="C78" s="13">
        <f>SUM(C61:C65)/C53</f>
        <v>114554.167</v>
      </c>
      <c r="D78" s="13"/>
      <c r="E78" s="13"/>
      <c r="F78" s="13"/>
      <c r="G78" s="13"/>
      <c r="H78" s="13"/>
    </row>
    <row r="79" spans="1:8">
      <c r="B79" s="14" t="s">
        <v>233</v>
      </c>
      <c r="C79" s="40">
        <f>(C75-C76)/C76*100</f>
        <v>8.9445491540096356</v>
      </c>
    </row>
    <row r="80" spans="1:8">
      <c r="B80" t="s">
        <v>234</v>
      </c>
      <c r="C80" s="21">
        <f>(C75-C77)/C77*100</f>
        <v>50.753768844221106</v>
      </c>
    </row>
    <row r="81" spans="2:4">
      <c r="B81" s="34" t="s">
        <v>235</v>
      </c>
      <c r="C81">
        <v>24</v>
      </c>
    </row>
    <row r="82" spans="2:4">
      <c r="B82" s="34" t="s">
        <v>236</v>
      </c>
      <c r="C82" s="13">
        <f>C57/C53</f>
        <v>192000</v>
      </c>
    </row>
    <row r="83" spans="2:4">
      <c r="B83" s="34" t="s">
        <v>237</v>
      </c>
      <c r="C83" s="26">
        <f>(C59+C60+'Unit cost and price'!D9/1000)/24</f>
        <v>46586.805555555555</v>
      </c>
      <c r="D83" s="13"/>
    </row>
    <row r="84" spans="2:4">
      <c r="B84" s="34" t="s">
        <v>238</v>
      </c>
      <c r="C84" s="13">
        <f>C58/C53</f>
        <v>60000</v>
      </c>
    </row>
    <row r="85" spans="2:4">
      <c r="B85" s="34" t="s">
        <v>239</v>
      </c>
      <c r="C85">
        <f>C74/C84</f>
        <v>180</v>
      </c>
    </row>
  </sheetData>
  <mergeCells count="1">
    <mergeCell ref="C51:H51"/>
  </mergeCells>
  <phoneticPr fontId="10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Q81"/>
  <sheetViews>
    <sheetView topLeftCell="A62" workbookViewId="0">
      <selection activeCell="G83" sqref="G83"/>
    </sheetView>
  </sheetViews>
  <sheetFormatPr baseColWidth="10" defaultColWidth="8.83203125" defaultRowHeight="14"/>
  <cols>
    <col min="1" max="1" width="29" customWidth="1"/>
    <col min="2" max="2" width="23.5" customWidth="1"/>
    <col min="3" max="3" width="12.1640625" customWidth="1"/>
    <col min="4" max="4" width="12.5" customWidth="1"/>
    <col min="5" max="5" width="13.83203125" customWidth="1"/>
    <col min="6" max="7" width="12.33203125" customWidth="1"/>
    <col min="8" max="9" width="11.5" customWidth="1"/>
    <col min="10" max="10" width="12" customWidth="1"/>
    <col min="11" max="11" width="11.5" customWidth="1"/>
    <col min="12" max="12" width="11.1640625" customWidth="1"/>
    <col min="13" max="13" width="11" customWidth="1"/>
    <col min="14" max="14" width="12.1640625" customWidth="1"/>
    <col min="15" max="15" width="12.33203125" customWidth="1"/>
    <col min="16" max="16" width="12.1640625" customWidth="1"/>
    <col min="17" max="17" width="12.6640625" customWidth="1"/>
  </cols>
  <sheetData>
    <row r="1" spans="1:17">
      <c r="A1" t="s">
        <v>304</v>
      </c>
      <c r="E1" t="s">
        <v>178</v>
      </c>
    </row>
    <row r="3" spans="1:17">
      <c r="A3" t="s">
        <v>173</v>
      </c>
      <c r="B3" t="s">
        <v>174</v>
      </c>
      <c r="E3" t="s">
        <v>305</v>
      </c>
      <c r="F3" t="s">
        <v>306</v>
      </c>
      <c r="G3" t="s">
        <v>307</v>
      </c>
      <c r="H3" t="s">
        <v>308</v>
      </c>
      <c r="I3" t="s">
        <v>309</v>
      </c>
      <c r="J3" t="s">
        <v>310</v>
      </c>
      <c r="K3" t="s">
        <v>311</v>
      </c>
      <c r="L3" t="s">
        <v>312</v>
      </c>
      <c r="M3" t="s">
        <v>313</v>
      </c>
      <c r="N3" t="s">
        <v>314</v>
      </c>
      <c r="O3" t="s">
        <v>315</v>
      </c>
      <c r="P3" t="s">
        <v>316</v>
      </c>
      <c r="Q3" t="s">
        <v>196</v>
      </c>
    </row>
    <row r="4" spans="1:17">
      <c r="A4" t="s">
        <v>317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f>SUM(E4:P4)</f>
        <v>24</v>
      </c>
    </row>
    <row r="5" spans="1:17">
      <c r="A5" t="s">
        <v>318</v>
      </c>
      <c r="E5" s="1"/>
      <c r="F5" s="1">
        <v>4</v>
      </c>
      <c r="G5" s="1"/>
      <c r="H5" s="1">
        <v>4</v>
      </c>
      <c r="I5" s="1"/>
      <c r="J5" s="1">
        <v>4</v>
      </c>
      <c r="K5" s="1"/>
      <c r="L5" s="1">
        <v>4</v>
      </c>
      <c r="M5" s="1"/>
      <c r="N5" s="1">
        <v>4</v>
      </c>
      <c r="O5" s="1"/>
      <c r="P5" s="1">
        <v>4</v>
      </c>
      <c r="Q5" s="1">
        <f>SUM(E5:P5)</f>
        <v>24</v>
      </c>
    </row>
    <row r="6" spans="1:17">
      <c r="A6" t="s">
        <v>165</v>
      </c>
      <c r="E6" s="1"/>
      <c r="F6" s="26">
        <f>'Model  incomes statements '!C54</f>
        <v>450000</v>
      </c>
      <c r="G6" s="1"/>
      <c r="H6" s="1">
        <f>F6</f>
        <v>450000</v>
      </c>
      <c r="I6" s="1"/>
      <c r="J6" s="1">
        <f>H6</f>
        <v>450000</v>
      </c>
      <c r="K6" s="1"/>
      <c r="L6" s="1">
        <f>J6</f>
        <v>450000</v>
      </c>
      <c r="M6" s="1"/>
      <c r="N6" s="1">
        <f>L6</f>
        <v>450000</v>
      </c>
      <c r="O6" s="1"/>
      <c r="P6" s="1">
        <f>N6</f>
        <v>450000</v>
      </c>
      <c r="Q6" s="1"/>
    </row>
    <row r="7" spans="1:17">
      <c r="A7" t="s">
        <v>179</v>
      </c>
      <c r="B7" s="19"/>
      <c r="C7" s="19"/>
      <c r="D7" s="19"/>
      <c r="E7" s="8">
        <f>E4*E6</f>
        <v>0</v>
      </c>
      <c r="G7" s="1"/>
      <c r="H7" s="42">
        <v>1800000</v>
      </c>
      <c r="J7" s="26">
        <v>1800000</v>
      </c>
      <c r="K7" s="44"/>
      <c r="L7" s="26">
        <v>1800000</v>
      </c>
      <c r="M7" s="44"/>
      <c r="N7" s="26">
        <v>1800000</v>
      </c>
      <c r="O7" s="44"/>
      <c r="P7" s="26">
        <v>1800000</v>
      </c>
      <c r="Q7" s="42">
        <f>SUM(E7:P7)</f>
        <v>9000000</v>
      </c>
    </row>
    <row r="8" spans="1:17">
      <c r="A8" t="s">
        <v>282</v>
      </c>
      <c r="E8" s="2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 t="shared" ref="Q8:Q24" si="0">SUM(E8:P8)</f>
        <v>0</v>
      </c>
    </row>
    <row r="9" spans="1:17">
      <c r="A9" t="s">
        <v>180</v>
      </c>
      <c r="E9" s="2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 t="shared" si="0"/>
        <v>0</v>
      </c>
    </row>
    <row r="10" spans="1:17">
      <c r="A10" s="18" t="s">
        <v>21</v>
      </c>
      <c r="B10" s="18"/>
      <c r="C10" s="18"/>
      <c r="D10" s="18"/>
      <c r="E10" s="3">
        <f>SUM(E7:E9)</f>
        <v>0</v>
      </c>
      <c r="F10" s="3">
        <f t="shared" ref="F10:Q10" si="1">SUM(F7:F9)</f>
        <v>0</v>
      </c>
      <c r="G10" s="3">
        <f t="shared" si="1"/>
        <v>0</v>
      </c>
      <c r="H10" s="3">
        <f>SUM(H7:H9)</f>
        <v>1800000</v>
      </c>
      <c r="I10" s="3">
        <f t="shared" si="1"/>
        <v>0</v>
      </c>
      <c r="J10" s="3">
        <f t="shared" si="1"/>
        <v>1800000</v>
      </c>
      <c r="K10" s="3">
        <f t="shared" si="1"/>
        <v>0</v>
      </c>
      <c r="L10" s="3">
        <f t="shared" si="1"/>
        <v>1800000</v>
      </c>
      <c r="M10" s="3">
        <f t="shared" si="1"/>
        <v>0</v>
      </c>
      <c r="N10" s="3">
        <f t="shared" si="1"/>
        <v>1800000</v>
      </c>
      <c r="O10" s="3">
        <f t="shared" si="1"/>
        <v>0</v>
      </c>
      <c r="P10" s="3">
        <f t="shared" si="1"/>
        <v>1800000</v>
      </c>
      <c r="Q10" s="3">
        <f t="shared" si="1"/>
        <v>9000000</v>
      </c>
    </row>
    <row r="11" spans="1:17">
      <c r="A11" t="s">
        <v>22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t="s">
        <v>33</v>
      </c>
      <c r="E12" s="26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f t="shared" si="0"/>
        <v>0</v>
      </c>
    </row>
    <row r="13" spans="1:17">
      <c r="A13" t="s">
        <v>34</v>
      </c>
      <c r="E13" s="26">
        <v>170000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 t="shared" si="0"/>
        <v>170000</v>
      </c>
    </row>
    <row r="14" spans="1:17">
      <c r="A14" t="s">
        <v>100</v>
      </c>
      <c r="D14" s="20"/>
      <c r="E14" s="1">
        <f>'Capital forecast'!E12</f>
        <v>90000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 t="shared" si="0"/>
        <v>90000</v>
      </c>
    </row>
    <row r="15" spans="1:17">
      <c r="A15" t="s">
        <v>99</v>
      </c>
      <c r="B15" t="s">
        <v>172</v>
      </c>
      <c r="F15" s="1">
        <f>'Unit cost and price'!D3*2/1000</f>
        <v>384000</v>
      </c>
      <c r="G15" s="1">
        <f>F15</f>
        <v>384000</v>
      </c>
      <c r="H15" s="1">
        <f t="shared" ref="H15:P15" si="2">G15</f>
        <v>384000</v>
      </c>
      <c r="I15" s="1">
        <f>H15</f>
        <v>384000</v>
      </c>
      <c r="J15" s="1">
        <f t="shared" si="2"/>
        <v>384000</v>
      </c>
      <c r="K15" s="1">
        <f t="shared" si="2"/>
        <v>384000</v>
      </c>
      <c r="L15" s="1">
        <f t="shared" si="2"/>
        <v>384000</v>
      </c>
      <c r="M15" s="1">
        <f t="shared" si="2"/>
        <v>384000</v>
      </c>
      <c r="N15" s="1">
        <f t="shared" si="2"/>
        <v>384000</v>
      </c>
      <c r="O15" s="1">
        <f t="shared" si="2"/>
        <v>384000</v>
      </c>
      <c r="P15" s="1">
        <f t="shared" si="2"/>
        <v>384000</v>
      </c>
      <c r="Q15" s="1">
        <f>SUM(E15:P15)</f>
        <v>4224000</v>
      </c>
    </row>
    <row r="16" spans="1:17">
      <c r="A16" t="s">
        <v>292</v>
      </c>
      <c r="B16" t="s">
        <v>157</v>
      </c>
      <c r="E16" s="1">
        <f>'Unit cost and price'!D4*2/1000</f>
        <v>120000</v>
      </c>
      <c r="F16" s="1">
        <f t="shared" ref="F16:P21" si="3">E16</f>
        <v>120000</v>
      </c>
      <c r="G16" s="1">
        <f t="shared" si="3"/>
        <v>120000</v>
      </c>
      <c r="H16" s="1">
        <f t="shared" si="3"/>
        <v>120000</v>
      </c>
      <c r="I16" s="1">
        <f t="shared" si="3"/>
        <v>120000</v>
      </c>
      <c r="J16" s="1">
        <f t="shared" si="3"/>
        <v>120000</v>
      </c>
      <c r="K16" s="1">
        <f t="shared" si="3"/>
        <v>120000</v>
      </c>
      <c r="L16" s="1">
        <f t="shared" si="3"/>
        <v>120000</v>
      </c>
      <c r="M16" s="1">
        <f t="shared" si="3"/>
        <v>120000</v>
      </c>
      <c r="N16" s="1">
        <f t="shared" si="3"/>
        <v>120000</v>
      </c>
      <c r="O16" s="1">
        <f t="shared" si="3"/>
        <v>120000</v>
      </c>
      <c r="P16" s="1">
        <f t="shared" si="3"/>
        <v>120000</v>
      </c>
      <c r="Q16" s="1">
        <f t="shared" si="0"/>
        <v>1440000</v>
      </c>
    </row>
    <row r="17" spans="1:17">
      <c r="A17" t="s">
        <v>102</v>
      </c>
      <c r="B17" t="s">
        <v>18</v>
      </c>
      <c r="E17" s="26">
        <f>'Model  incomes statements '!E12</f>
        <v>30000</v>
      </c>
      <c r="F17" s="1">
        <f t="shared" si="3"/>
        <v>30000</v>
      </c>
      <c r="G17" s="1">
        <f t="shared" si="3"/>
        <v>30000</v>
      </c>
      <c r="H17" s="1">
        <f t="shared" si="3"/>
        <v>30000</v>
      </c>
      <c r="I17" s="1">
        <f t="shared" si="3"/>
        <v>30000</v>
      </c>
      <c r="J17" s="1">
        <f t="shared" si="3"/>
        <v>30000</v>
      </c>
      <c r="K17" s="1">
        <f t="shared" si="3"/>
        <v>30000</v>
      </c>
      <c r="L17" s="1">
        <f t="shared" si="3"/>
        <v>30000</v>
      </c>
      <c r="M17" s="1">
        <f t="shared" si="3"/>
        <v>30000</v>
      </c>
      <c r="N17" s="1">
        <f t="shared" si="3"/>
        <v>30000</v>
      </c>
      <c r="O17" s="1">
        <f t="shared" si="3"/>
        <v>30000</v>
      </c>
      <c r="P17" s="1">
        <f t="shared" si="3"/>
        <v>30000</v>
      </c>
      <c r="Q17" s="1">
        <f t="shared" si="0"/>
        <v>360000</v>
      </c>
    </row>
    <row r="18" spans="1:17">
      <c r="A18" t="s">
        <v>192</v>
      </c>
      <c r="B18" t="s">
        <v>156</v>
      </c>
      <c r="F18" s="1">
        <f>'Unit cost and price'!D6*2/1000</f>
        <v>63000</v>
      </c>
      <c r="G18" s="1">
        <f>F18</f>
        <v>63000</v>
      </c>
      <c r="H18" s="1">
        <f t="shared" si="3"/>
        <v>63000</v>
      </c>
      <c r="I18" s="1">
        <f t="shared" si="3"/>
        <v>63000</v>
      </c>
      <c r="J18" s="1">
        <f t="shared" si="3"/>
        <v>63000</v>
      </c>
      <c r="K18" s="1">
        <f t="shared" si="3"/>
        <v>63000</v>
      </c>
      <c r="L18" s="1">
        <f t="shared" si="3"/>
        <v>63000</v>
      </c>
      <c r="M18" s="1">
        <f t="shared" si="3"/>
        <v>63000</v>
      </c>
      <c r="N18" s="1">
        <f t="shared" si="3"/>
        <v>63000</v>
      </c>
      <c r="O18" s="1">
        <f t="shared" si="3"/>
        <v>63000</v>
      </c>
      <c r="P18" s="1">
        <f t="shared" si="3"/>
        <v>63000</v>
      </c>
      <c r="Q18" s="1">
        <f>SUM(E18:P18)</f>
        <v>693000</v>
      </c>
    </row>
    <row r="19" spans="1:17">
      <c r="A19" t="s">
        <v>200</v>
      </c>
      <c r="B19" t="s">
        <v>164</v>
      </c>
      <c r="E19" s="1">
        <f>'Unit cost and price'!D7*2/1000</f>
        <v>200000</v>
      </c>
      <c r="F19" s="1">
        <f t="shared" si="3"/>
        <v>200000</v>
      </c>
      <c r="G19" s="1">
        <f t="shared" si="3"/>
        <v>200000</v>
      </c>
      <c r="H19" s="1">
        <f t="shared" si="3"/>
        <v>200000</v>
      </c>
      <c r="I19" s="1">
        <f t="shared" si="3"/>
        <v>200000</v>
      </c>
      <c r="J19" s="1">
        <f t="shared" si="3"/>
        <v>200000</v>
      </c>
      <c r="K19" s="1">
        <f t="shared" si="3"/>
        <v>200000</v>
      </c>
      <c r="L19" s="1">
        <f t="shared" si="3"/>
        <v>200000</v>
      </c>
      <c r="M19" s="1">
        <f t="shared" si="3"/>
        <v>200000</v>
      </c>
      <c r="N19" s="1">
        <f t="shared" si="3"/>
        <v>200000</v>
      </c>
      <c r="O19" s="1">
        <f t="shared" si="3"/>
        <v>200000</v>
      </c>
      <c r="P19" s="1">
        <f t="shared" si="3"/>
        <v>200000</v>
      </c>
      <c r="Q19" s="1">
        <f t="shared" si="0"/>
        <v>2400000</v>
      </c>
    </row>
    <row r="20" spans="1:17">
      <c r="A20" t="s">
        <v>117</v>
      </c>
      <c r="B20" t="s">
        <v>159</v>
      </c>
      <c r="E20" s="1">
        <f>'Unit cost and price'!D8/1000</f>
        <v>7500</v>
      </c>
      <c r="F20" s="1">
        <f t="shared" si="3"/>
        <v>7500</v>
      </c>
      <c r="G20" s="1">
        <f t="shared" si="3"/>
        <v>7500</v>
      </c>
      <c r="H20" s="1">
        <f t="shared" si="3"/>
        <v>7500</v>
      </c>
      <c r="I20" s="1">
        <f t="shared" si="3"/>
        <v>7500</v>
      </c>
      <c r="J20" s="1">
        <f t="shared" si="3"/>
        <v>7500</v>
      </c>
      <c r="K20" s="1">
        <f t="shared" si="3"/>
        <v>7500</v>
      </c>
      <c r="L20" s="1">
        <f t="shared" si="3"/>
        <v>7500</v>
      </c>
      <c r="M20" s="1">
        <f t="shared" si="3"/>
        <v>7500</v>
      </c>
      <c r="N20" s="1">
        <f t="shared" si="3"/>
        <v>7500</v>
      </c>
      <c r="O20" s="1">
        <f t="shared" si="3"/>
        <v>7500</v>
      </c>
      <c r="P20" s="1">
        <f t="shared" si="3"/>
        <v>7500</v>
      </c>
      <c r="Q20" s="1">
        <f t="shared" si="0"/>
        <v>90000</v>
      </c>
    </row>
    <row r="21" spans="1:17">
      <c r="A21" t="s">
        <v>35</v>
      </c>
      <c r="B21" t="s">
        <v>36</v>
      </c>
      <c r="E21" s="26">
        <v>0</v>
      </c>
      <c r="F21" s="1">
        <f t="shared" si="3"/>
        <v>0</v>
      </c>
      <c r="G21" s="1">
        <f t="shared" si="3"/>
        <v>0</v>
      </c>
      <c r="H21" s="1">
        <f t="shared" si="3"/>
        <v>0</v>
      </c>
      <c r="I21" s="1">
        <f t="shared" si="3"/>
        <v>0</v>
      </c>
      <c r="J21" s="1">
        <f t="shared" si="3"/>
        <v>0</v>
      </c>
      <c r="K21" s="1">
        <f t="shared" si="3"/>
        <v>0</v>
      </c>
      <c r="L21" s="1">
        <f t="shared" si="3"/>
        <v>0</v>
      </c>
      <c r="M21" s="1">
        <f t="shared" si="3"/>
        <v>0</v>
      </c>
      <c r="N21" s="1">
        <f t="shared" si="3"/>
        <v>0</v>
      </c>
      <c r="O21" s="1">
        <f t="shared" si="3"/>
        <v>0</v>
      </c>
      <c r="P21" s="1">
        <f t="shared" si="3"/>
        <v>0</v>
      </c>
      <c r="Q21" s="1">
        <f t="shared" si="0"/>
        <v>0</v>
      </c>
    </row>
    <row r="22" spans="1:17">
      <c r="A22" t="s">
        <v>168</v>
      </c>
      <c r="B22" t="s">
        <v>119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 t="shared" si="0"/>
        <v>0</v>
      </c>
    </row>
    <row r="23" spans="1:17">
      <c r="A23" t="s">
        <v>169</v>
      </c>
      <c r="B23" t="s">
        <v>171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 t="shared" si="0"/>
        <v>0</v>
      </c>
    </row>
    <row r="24" spans="1:17">
      <c r="A24" t="s">
        <v>5</v>
      </c>
      <c r="E24" s="26">
        <f>L39</f>
        <v>26900</v>
      </c>
      <c r="F24" s="26">
        <f>E24</f>
        <v>26900</v>
      </c>
      <c r="G24" s="26">
        <f t="shared" ref="G24:P24" si="4">F24</f>
        <v>26900</v>
      </c>
      <c r="H24" s="26">
        <f t="shared" si="4"/>
        <v>26900</v>
      </c>
      <c r="I24" s="26">
        <f t="shared" si="4"/>
        <v>26900</v>
      </c>
      <c r="J24" s="26">
        <f t="shared" si="4"/>
        <v>26900</v>
      </c>
      <c r="K24" s="26">
        <f t="shared" si="4"/>
        <v>26900</v>
      </c>
      <c r="L24" s="26">
        <f t="shared" si="4"/>
        <v>26900</v>
      </c>
      <c r="M24" s="26">
        <f t="shared" si="4"/>
        <v>26900</v>
      </c>
      <c r="N24" s="26">
        <f t="shared" si="4"/>
        <v>26900</v>
      </c>
      <c r="O24" s="26">
        <f t="shared" si="4"/>
        <v>26900</v>
      </c>
      <c r="P24" s="26">
        <f t="shared" si="4"/>
        <v>26900</v>
      </c>
      <c r="Q24" s="1">
        <f t="shared" si="0"/>
        <v>322800</v>
      </c>
    </row>
    <row r="25" spans="1:17">
      <c r="A25" s="4" t="s">
        <v>23</v>
      </c>
      <c r="B25" s="4"/>
      <c r="C25" s="4"/>
      <c r="D25" s="4"/>
      <c r="E25" s="2">
        <f>SUM(E12:E24)</f>
        <v>644400</v>
      </c>
      <c r="F25" s="2">
        <f t="shared" ref="F25:Q25" si="5">SUM(F12:F24)</f>
        <v>831400</v>
      </c>
      <c r="G25" s="2">
        <f t="shared" si="5"/>
        <v>831400</v>
      </c>
      <c r="H25" s="2">
        <f t="shared" si="5"/>
        <v>831400</v>
      </c>
      <c r="I25" s="2">
        <f t="shared" si="5"/>
        <v>831400</v>
      </c>
      <c r="J25" s="2">
        <f t="shared" si="5"/>
        <v>831400</v>
      </c>
      <c r="K25" s="2">
        <f t="shared" si="5"/>
        <v>831400</v>
      </c>
      <c r="L25" s="2">
        <f t="shared" si="5"/>
        <v>831400</v>
      </c>
      <c r="M25" s="2">
        <f t="shared" si="5"/>
        <v>831400</v>
      </c>
      <c r="N25" s="2">
        <f t="shared" si="5"/>
        <v>831400</v>
      </c>
      <c r="O25" s="2">
        <f t="shared" si="5"/>
        <v>831400</v>
      </c>
      <c r="P25" s="2">
        <f t="shared" si="5"/>
        <v>831400</v>
      </c>
      <c r="Q25" s="2">
        <f t="shared" si="5"/>
        <v>9789800</v>
      </c>
    </row>
    <row r="26" spans="1:17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4" t="s">
        <v>24</v>
      </c>
      <c r="B27" s="4"/>
      <c r="C27" s="4"/>
      <c r="D27" s="4"/>
      <c r="E27" s="2">
        <f t="shared" ref="E27:O27" si="6">E10-E25</f>
        <v>-644400</v>
      </c>
      <c r="F27" s="2">
        <f t="shared" si="6"/>
        <v>-831400</v>
      </c>
      <c r="G27" s="2">
        <f t="shared" si="6"/>
        <v>-831400</v>
      </c>
      <c r="H27" s="2">
        <f t="shared" si="6"/>
        <v>968600</v>
      </c>
      <c r="I27" s="2">
        <f t="shared" si="6"/>
        <v>-831400</v>
      </c>
      <c r="J27" s="2">
        <f t="shared" si="6"/>
        <v>968600</v>
      </c>
      <c r="K27" s="2">
        <f t="shared" si="6"/>
        <v>-831400</v>
      </c>
      <c r="L27" s="2">
        <f t="shared" si="6"/>
        <v>968600</v>
      </c>
      <c r="M27" s="2">
        <f t="shared" si="6"/>
        <v>-831400</v>
      </c>
      <c r="N27" s="2">
        <f t="shared" si="6"/>
        <v>968600</v>
      </c>
      <c r="O27" s="2">
        <f t="shared" si="6"/>
        <v>-831400</v>
      </c>
      <c r="P27" s="2">
        <f t="shared" ref="P27:Q27" si="7">P10-P25</f>
        <v>968600</v>
      </c>
      <c r="Q27" s="2">
        <f t="shared" si="7"/>
        <v>-789800</v>
      </c>
    </row>
    <row r="28" spans="1:17">
      <c r="A28" t="s">
        <v>25</v>
      </c>
      <c r="D28" s="27">
        <v>-999000</v>
      </c>
      <c r="E28" s="1">
        <f>D28</f>
        <v>-999000</v>
      </c>
      <c r="F28" s="1">
        <f t="shared" ref="F28:P28" si="8">E29</f>
        <v>-1643400</v>
      </c>
      <c r="G28" s="1">
        <f t="shared" si="8"/>
        <v>-2474800</v>
      </c>
      <c r="H28" s="1">
        <f t="shared" si="8"/>
        <v>-3306200</v>
      </c>
      <c r="I28" s="1">
        <f t="shared" si="8"/>
        <v>-2337600</v>
      </c>
      <c r="J28" s="1">
        <f t="shared" si="8"/>
        <v>-3169000</v>
      </c>
      <c r="K28" s="1">
        <f t="shared" si="8"/>
        <v>-2200400</v>
      </c>
      <c r="L28" s="1">
        <f t="shared" si="8"/>
        <v>-3031800</v>
      </c>
      <c r="M28" s="1">
        <f t="shared" si="8"/>
        <v>-2063200</v>
      </c>
      <c r="N28" s="1">
        <f t="shared" si="8"/>
        <v>-2894600</v>
      </c>
      <c r="O28" s="1">
        <f t="shared" si="8"/>
        <v>-1926000</v>
      </c>
      <c r="P28" s="1">
        <f t="shared" si="8"/>
        <v>-2757400</v>
      </c>
      <c r="Q28" s="1">
        <f>E28</f>
        <v>-999000</v>
      </c>
    </row>
    <row r="29" spans="1:17">
      <c r="A29" s="4" t="s">
        <v>26</v>
      </c>
      <c r="E29" s="31">
        <f>E27+E28</f>
        <v>-1643400</v>
      </c>
      <c r="F29" s="31">
        <f t="shared" ref="F29:P29" si="9">F27+F28</f>
        <v>-2474800</v>
      </c>
      <c r="G29" s="31">
        <f t="shared" si="9"/>
        <v>-3306200</v>
      </c>
      <c r="H29" s="31">
        <f t="shared" si="9"/>
        <v>-2337600</v>
      </c>
      <c r="I29" s="31">
        <f t="shared" si="9"/>
        <v>-3169000</v>
      </c>
      <c r="J29" s="31">
        <f t="shared" si="9"/>
        <v>-2200400</v>
      </c>
      <c r="K29" s="31">
        <f t="shared" si="9"/>
        <v>-3031800</v>
      </c>
      <c r="L29" s="31">
        <f t="shared" si="9"/>
        <v>-2063200</v>
      </c>
      <c r="M29" s="31">
        <f t="shared" si="9"/>
        <v>-2894600</v>
      </c>
      <c r="N29" s="31">
        <f t="shared" si="9"/>
        <v>-1926000</v>
      </c>
      <c r="O29" s="31">
        <f t="shared" si="9"/>
        <v>-2757400</v>
      </c>
      <c r="P29" s="31">
        <f t="shared" si="9"/>
        <v>-1788800</v>
      </c>
      <c r="Q29" s="31">
        <f>SUM(Q27:Q28)</f>
        <v>-1788800</v>
      </c>
    </row>
    <row r="30" spans="1:17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D31" s="16"/>
      <c r="E31" s="1" t="s">
        <v>215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5" spans="4:12">
      <c r="D35" s="16"/>
      <c r="E35" s="16"/>
      <c r="F35" s="16"/>
      <c r="G35" s="16" t="s">
        <v>267</v>
      </c>
      <c r="H35" s="16"/>
      <c r="I35" s="16"/>
      <c r="J35" s="16"/>
      <c r="K35" s="16"/>
    </row>
    <row r="36" spans="4:12">
      <c r="D36" s="16" t="s">
        <v>216</v>
      </c>
      <c r="E36" s="33"/>
      <c r="F36" s="16"/>
      <c r="G36" s="33">
        <v>750000</v>
      </c>
      <c r="H36" s="16"/>
      <c r="I36" s="16"/>
      <c r="J36" s="16"/>
      <c r="K36" s="16"/>
    </row>
    <row r="37" spans="4:12">
      <c r="D37" s="16" t="s">
        <v>4</v>
      </c>
      <c r="E37" s="16"/>
      <c r="F37" s="16"/>
      <c r="G37" s="33">
        <v>16000</v>
      </c>
      <c r="H37" s="16"/>
      <c r="I37" s="16"/>
      <c r="J37" s="16"/>
      <c r="K37" s="16"/>
    </row>
    <row r="38" spans="4:12">
      <c r="D38" s="16" t="s">
        <v>217</v>
      </c>
      <c r="E38" s="16"/>
      <c r="F38" s="16" t="s">
        <v>264</v>
      </c>
      <c r="G38" s="16" t="s">
        <v>223</v>
      </c>
      <c r="H38" s="16" t="s">
        <v>224</v>
      </c>
      <c r="I38" s="16" t="s">
        <v>225</v>
      </c>
      <c r="J38" s="16" t="s">
        <v>227</v>
      </c>
      <c r="K38" s="16" t="s">
        <v>226</v>
      </c>
      <c r="L38" s="16" t="s">
        <v>6</v>
      </c>
    </row>
    <row r="39" spans="4:12">
      <c r="D39" s="16"/>
      <c r="E39" s="16"/>
      <c r="F39" s="16" t="s">
        <v>218</v>
      </c>
      <c r="G39" s="26">
        <v>750000</v>
      </c>
      <c r="H39" s="26">
        <v>192000</v>
      </c>
      <c r="I39" s="26">
        <f>G39-H39</f>
        <v>558000</v>
      </c>
      <c r="J39" s="26">
        <f>(G39+I39)/2*0.2</f>
        <v>130800</v>
      </c>
      <c r="K39" s="26">
        <f>J39/12</f>
        <v>10900</v>
      </c>
      <c r="L39" s="6">
        <f>(H39+J39)/12</f>
        <v>26900</v>
      </c>
    </row>
    <row r="40" spans="4:12">
      <c r="D40" s="16"/>
      <c r="E40" s="16"/>
      <c r="F40" s="16" t="s">
        <v>219</v>
      </c>
      <c r="G40" s="26">
        <f>I39</f>
        <v>558000</v>
      </c>
      <c r="H40" s="26">
        <f>H39</f>
        <v>192000</v>
      </c>
      <c r="I40" s="26">
        <f t="shared" ref="I40:I43" si="10">G40-H40</f>
        <v>366000</v>
      </c>
      <c r="J40" s="26">
        <f t="shared" ref="J40:J43" si="11">(G40+I40)/2*0.2</f>
        <v>92400</v>
      </c>
      <c r="K40" s="26">
        <f t="shared" ref="K40:K44" si="12">J40/12</f>
        <v>7700</v>
      </c>
    </row>
    <row r="41" spans="4:12">
      <c r="D41" s="16"/>
      <c r="E41" s="16"/>
      <c r="F41" s="16" t="s">
        <v>220</v>
      </c>
      <c r="G41" s="26">
        <f t="shared" ref="G41:G43" si="13">I40</f>
        <v>366000</v>
      </c>
      <c r="H41" s="26">
        <f>H40</f>
        <v>192000</v>
      </c>
      <c r="I41" s="26">
        <f t="shared" si="10"/>
        <v>174000</v>
      </c>
      <c r="J41" s="26">
        <f t="shared" si="11"/>
        <v>54000</v>
      </c>
      <c r="K41" s="26">
        <f t="shared" si="12"/>
        <v>4500</v>
      </c>
    </row>
    <row r="42" spans="4:12">
      <c r="D42" s="16"/>
      <c r="E42" s="16"/>
      <c r="F42" s="16" t="s">
        <v>221</v>
      </c>
      <c r="G42" s="26">
        <f t="shared" si="13"/>
        <v>174000</v>
      </c>
      <c r="H42" s="26">
        <v>174000</v>
      </c>
      <c r="I42" s="26">
        <f t="shared" si="10"/>
        <v>0</v>
      </c>
      <c r="J42" s="26">
        <f t="shared" si="11"/>
        <v>17400</v>
      </c>
      <c r="K42" s="26">
        <f t="shared" si="12"/>
        <v>1450</v>
      </c>
    </row>
    <row r="43" spans="4:12">
      <c r="D43" s="16"/>
      <c r="E43" s="16"/>
      <c r="F43" s="16" t="s">
        <v>222</v>
      </c>
      <c r="G43" s="26">
        <f t="shared" si="13"/>
        <v>0</v>
      </c>
      <c r="H43" s="26">
        <v>0</v>
      </c>
      <c r="I43" s="26">
        <f t="shared" si="10"/>
        <v>0</v>
      </c>
      <c r="J43" s="26">
        <f t="shared" si="11"/>
        <v>0</v>
      </c>
      <c r="K43" s="26">
        <f t="shared" si="12"/>
        <v>0</v>
      </c>
    </row>
    <row r="44" spans="4:12">
      <c r="D44" s="16"/>
      <c r="E44" s="16"/>
      <c r="F44" s="16"/>
      <c r="G44" s="16"/>
      <c r="H44" s="38">
        <f>SUM(H39:H43)</f>
        <v>750000</v>
      </c>
      <c r="I44" s="16"/>
      <c r="J44" s="38">
        <f>SUM(J39:J43)</f>
        <v>294600</v>
      </c>
      <c r="K44" s="16">
        <f t="shared" si="12"/>
        <v>24550</v>
      </c>
    </row>
    <row r="46" spans="4:12">
      <c r="J46" s="6">
        <f>H44+J44</f>
        <v>1044600</v>
      </c>
    </row>
    <row r="51" spans="1:9">
      <c r="A51" t="s">
        <v>264</v>
      </c>
      <c r="B51" t="s">
        <v>174</v>
      </c>
      <c r="C51" t="s">
        <v>103</v>
      </c>
      <c r="D51" t="s">
        <v>104</v>
      </c>
      <c r="E51" t="s">
        <v>105</v>
      </c>
      <c r="F51" t="s">
        <v>106</v>
      </c>
      <c r="G51" t="s">
        <v>107</v>
      </c>
      <c r="H51" t="s">
        <v>196</v>
      </c>
      <c r="I51" s="11"/>
    </row>
    <row r="52" spans="1:9">
      <c r="A52" t="s">
        <v>108</v>
      </c>
      <c r="B52">
        <v>0</v>
      </c>
      <c r="C52">
        <v>24</v>
      </c>
      <c r="D52">
        <v>24</v>
      </c>
      <c r="E52">
        <v>24</v>
      </c>
      <c r="F52">
        <v>24</v>
      </c>
      <c r="G52">
        <v>24</v>
      </c>
      <c r="H52">
        <f>SUM(C52:G52)</f>
        <v>120</v>
      </c>
      <c r="I52" s="11"/>
    </row>
    <row r="53" spans="1:9">
      <c r="A53" t="s">
        <v>165</v>
      </c>
      <c r="C53" s="42">
        <f>F6</f>
        <v>450000</v>
      </c>
      <c r="D53" s="8">
        <f>C53</f>
        <v>450000</v>
      </c>
      <c r="E53" s="8">
        <f t="shared" ref="E53:G53" si="14">D53</f>
        <v>450000</v>
      </c>
      <c r="F53" s="8">
        <f t="shared" si="14"/>
        <v>450000</v>
      </c>
      <c r="G53" s="8">
        <f t="shared" si="14"/>
        <v>450000</v>
      </c>
      <c r="H53" s="1"/>
      <c r="I53" s="8"/>
    </row>
    <row r="54" spans="1:9">
      <c r="A54" t="s">
        <v>179</v>
      </c>
      <c r="B54" s="19"/>
      <c r="C54" s="8">
        <f>Q7</f>
        <v>9000000</v>
      </c>
      <c r="D54" s="8">
        <f t="shared" ref="D54:G54" si="15">D52*D53</f>
        <v>10800000</v>
      </c>
      <c r="E54" s="8">
        <f t="shared" si="15"/>
        <v>10800000</v>
      </c>
      <c r="F54" s="8">
        <f t="shared" si="15"/>
        <v>10800000</v>
      </c>
      <c r="G54" s="8">
        <f t="shared" si="15"/>
        <v>10800000</v>
      </c>
      <c r="H54" s="1">
        <f t="shared" ref="H54:H75" si="16">SUM(C54:G54)</f>
        <v>52200000</v>
      </c>
      <c r="I54" s="8"/>
    </row>
    <row r="55" spans="1:9">
      <c r="A55" t="s">
        <v>282</v>
      </c>
      <c r="C55" s="8">
        <f>E8</f>
        <v>0</v>
      </c>
      <c r="D55" s="1"/>
      <c r="E55" s="1"/>
      <c r="F55" s="1"/>
      <c r="G55" s="1"/>
      <c r="H55" s="1">
        <f t="shared" si="16"/>
        <v>0</v>
      </c>
      <c r="I55" s="1"/>
    </row>
    <row r="56" spans="1:9">
      <c r="A56" t="s">
        <v>180</v>
      </c>
      <c r="C56" s="8">
        <f>E9</f>
        <v>0</v>
      </c>
      <c r="D56" s="8"/>
      <c r="E56" s="8"/>
      <c r="F56" s="8"/>
      <c r="G56" s="8"/>
      <c r="H56" s="1">
        <f t="shared" si="16"/>
        <v>0</v>
      </c>
      <c r="I56" s="8"/>
    </row>
    <row r="57" spans="1:9">
      <c r="A57" s="18" t="s">
        <v>21</v>
      </c>
      <c r="B57" s="18"/>
      <c r="C57" s="8">
        <f t="shared" ref="C57:G57" si="17">SUM(C54:C56)</f>
        <v>9000000</v>
      </c>
      <c r="D57" s="8">
        <f t="shared" si="17"/>
        <v>10800000</v>
      </c>
      <c r="E57" s="8">
        <f t="shared" si="17"/>
        <v>10800000</v>
      </c>
      <c r="F57" s="8">
        <f t="shared" si="17"/>
        <v>10800000</v>
      </c>
      <c r="G57" s="8">
        <f t="shared" si="17"/>
        <v>10800000</v>
      </c>
      <c r="H57" s="1">
        <f t="shared" si="16"/>
        <v>52200000</v>
      </c>
      <c r="I57" s="8">
        <f>SUM(H54:H56)</f>
        <v>52200000</v>
      </c>
    </row>
    <row r="58" spans="1:9">
      <c r="A58" t="s">
        <v>22</v>
      </c>
      <c r="C58" s="8"/>
      <c r="D58" s="8"/>
      <c r="E58" s="8"/>
      <c r="F58" s="8"/>
      <c r="G58" s="8"/>
      <c r="H58" s="1"/>
      <c r="I58" s="8"/>
    </row>
    <row r="59" spans="1:9">
      <c r="A59" t="s">
        <v>33</v>
      </c>
      <c r="C59" s="1">
        <f>E12</f>
        <v>0</v>
      </c>
      <c r="D59" s="1"/>
      <c r="E59" s="1"/>
      <c r="F59" s="1"/>
      <c r="G59" s="1"/>
      <c r="H59" s="1">
        <f t="shared" si="16"/>
        <v>0</v>
      </c>
      <c r="I59" s="1"/>
    </row>
    <row r="60" spans="1:9">
      <c r="A60" t="s">
        <v>34</v>
      </c>
      <c r="C60" s="1">
        <f>E13</f>
        <v>170000</v>
      </c>
      <c r="D60" s="1"/>
      <c r="E60" s="1"/>
      <c r="F60" s="1"/>
      <c r="G60" s="1"/>
      <c r="H60" s="1">
        <f t="shared" si="16"/>
        <v>170000</v>
      </c>
      <c r="I60" s="1"/>
    </row>
    <row r="61" spans="1:9">
      <c r="A61" t="s">
        <v>100</v>
      </c>
      <c r="C61" s="1">
        <f>E14</f>
        <v>90000</v>
      </c>
      <c r="D61" s="1"/>
      <c r="E61" s="1"/>
      <c r="F61" s="1"/>
      <c r="G61" s="1"/>
      <c r="H61" s="1">
        <f t="shared" si="16"/>
        <v>90000</v>
      </c>
      <c r="I61" s="1"/>
    </row>
    <row r="62" spans="1:9">
      <c r="A62" t="s">
        <v>99</v>
      </c>
      <c r="B62" t="s">
        <v>172</v>
      </c>
      <c r="C62" s="1">
        <f>Q15</f>
        <v>4224000</v>
      </c>
      <c r="D62" s="1">
        <f>C62</f>
        <v>4224000</v>
      </c>
      <c r="E62" s="1">
        <f t="shared" ref="E62:G62" si="18">D62</f>
        <v>4224000</v>
      </c>
      <c r="F62" s="1">
        <f t="shared" si="18"/>
        <v>4224000</v>
      </c>
      <c r="G62" s="1">
        <f t="shared" si="18"/>
        <v>4224000</v>
      </c>
      <c r="H62" s="1">
        <f t="shared" si="16"/>
        <v>21120000</v>
      </c>
      <c r="I62" s="1"/>
    </row>
    <row r="63" spans="1:9">
      <c r="A63" t="s">
        <v>292</v>
      </c>
      <c r="B63" t="s">
        <v>157</v>
      </c>
      <c r="C63" s="1">
        <f t="shared" ref="C63:C68" si="19">Q16</f>
        <v>1440000</v>
      </c>
      <c r="D63" s="1">
        <f t="shared" ref="D63:G70" si="20">C63</f>
        <v>1440000</v>
      </c>
      <c r="E63" s="1">
        <f t="shared" si="20"/>
        <v>1440000</v>
      </c>
      <c r="F63" s="1">
        <f t="shared" si="20"/>
        <v>1440000</v>
      </c>
      <c r="G63" s="1">
        <f t="shared" si="20"/>
        <v>1440000</v>
      </c>
      <c r="H63" s="1">
        <f t="shared" si="16"/>
        <v>7200000</v>
      </c>
      <c r="I63" s="1"/>
    </row>
    <row r="64" spans="1:9">
      <c r="A64" t="s">
        <v>102</v>
      </c>
      <c r="B64" t="s">
        <v>158</v>
      </c>
      <c r="C64" s="1">
        <f t="shared" si="19"/>
        <v>360000</v>
      </c>
      <c r="D64" s="1">
        <f t="shared" si="20"/>
        <v>360000</v>
      </c>
      <c r="E64" s="1">
        <f t="shared" si="20"/>
        <v>360000</v>
      </c>
      <c r="F64" s="1">
        <f t="shared" si="20"/>
        <v>360000</v>
      </c>
      <c r="G64" s="1">
        <f t="shared" si="20"/>
        <v>360000</v>
      </c>
      <c r="H64" s="1">
        <f t="shared" si="16"/>
        <v>1800000</v>
      </c>
      <c r="I64" s="1"/>
    </row>
    <row r="65" spans="1:10">
      <c r="A65" t="s">
        <v>192</v>
      </c>
      <c r="B65" t="s">
        <v>156</v>
      </c>
      <c r="C65" s="1">
        <f t="shared" si="19"/>
        <v>693000</v>
      </c>
      <c r="D65" s="1">
        <f t="shared" si="20"/>
        <v>693000</v>
      </c>
      <c r="E65" s="1">
        <f t="shared" si="20"/>
        <v>693000</v>
      </c>
      <c r="F65" s="1">
        <f t="shared" si="20"/>
        <v>693000</v>
      </c>
      <c r="G65" s="1">
        <f t="shared" si="20"/>
        <v>693000</v>
      </c>
      <c r="H65" s="1">
        <f t="shared" si="16"/>
        <v>3465000</v>
      </c>
      <c r="I65" s="1"/>
    </row>
    <row r="66" spans="1:10">
      <c r="A66" t="s">
        <v>200</v>
      </c>
      <c r="B66" t="s">
        <v>164</v>
      </c>
      <c r="C66" s="1">
        <f t="shared" si="19"/>
        <v>2400000</v>
      </c>
      <c r="D66" s="1">
        <f t="shared" si="20"/>
        <v>2400000</v>
      </c>
      <c r="E66" s="1">
        <f t="shared" si="20"/>
        <v>2400000</v>
      </c>
      <c r="F66" s="1">
        <f t="shared" si="20"/>
        <v>2400000</v>
      </c>
      <c r="G66" s="1">
        <f t="shared" si="20"/>
        <v>2400000</v>
      </c>
      <c r="H66" s="1">
        <f t="shared" si="16"/>
        <v>12000000</v>
      </c>
      <c r="I66" s="1"/>
    </row>
    <row r="67" spans="1:10">
      <c r="A67" t="s">
        <v>117</v>
      </c>
      <c r="B67" t="s">
        <v>159</v>
      </c>
      <c r="C67" s="1">
        <f t="shared" si="19"/>
        <v>90000</v>
      </c>
      <c r="D67" s="1">
        <f t="shared" si="20"/>
        <v>90000</v>
      </c>
      <c r="E67" s="1">
        <f t="shared" si="20"/>
        <v>90000</v>
      </c>
      <c r="F67" s="1">
        <f t="shared" si="20"/>
        <v>90000</v>
      </c>
      <c r="G67" s="1">
        <f t="shared" si="20"/>
        <v>90000</v>
      </c>
      <c r="H67" s="1">
        <f t="shared" si="16"/>
        <v>450000</v>
      </c>
      <c r="I67" s="1"/>
    </row>
    <row r="68" spans="1:10">
      <c r="A68" t="s">
        <v>35</v>
      </c>
      <c r="B68" t="s">
        <v>36</v>
      </c>
      <c r="C68" s="1">
        <f t="shared" si="19"/>
        <v>0</v>
      </c>
      <c r="D68" s="1">
        <f t="shared" si="20"/>
        <v>0</v>
      </c>
      <c r="E68" s="1">
        <f t="shared" si="20"/>
        <v>0</v>
      </c>
      <c r="F68" s="1">
        <f t="shared" si="20"/>
        <v>0</v>
      </c>
      <c r="G68" s="1">
        <f t="shared" si="20"/>
        <v>0</v>
      </c>
      <c r="H68" s="1">
        <f t="shared" si="16"/>
        <v>0</v>
      </c>
      <c r="I68" s="1"/>
    </row>
    <row r="69" spans="1:10">
      <c r="A69" t="s">
        <v>168</v>
      </c>
      <c r="B69" t="s">
        <v>170</v>
      </c>
      <c r="C69" s="1">
        <f t="shared" ref="C69:C70" si="21">E22</f>
        <v>0</v>
      </c>
      <c r="D69" s="1">
        <f t="shared" si="20"/>
        <v>0</v>
      </c>
      <c r="E69" s="1">
        <f t="shared" si="20"/>
        <v>0</v>
      </c>
      <c r="F69" s="1">
        <f t="shared" si="20"/>
        <v>0</v>
      </c>
      <c r="G69" s="1">
        <f t="shared" si="20"/>
        <v>0</v>
      </c>
      <c r="H69" s="1">
        <f t="shared" si="16"/>
        <v>0</v>
      </c>
      <c r="I69" s="1"/>
    </row>
    <row r="70" spans="1:10">
      <c r="A70" t="s">
        <v>169</v>
      </c>
      <c r="B70" t="s">
        <v>171</v>
      </c>
      <c r="C70" s="1">
        <f t="shared" si="21"/>
        <v>0</v>
      </c>
      <c r="D70" s="1">
        <f t="shared" si="20"/>
        <v>0</v>
      </c>
      <c r="E70" s="1">
        <f t="shared" si="20"/>
        <v>0</v>
      </c>
      <c r="F70" s="1">
        <f t="shared" si="20"/>
        <v>0</v>
      </c>
      <c r="G70" s="1">
        <f t="shared" si="20"/>
        <v>0</v>
      </c>
      <c r="H70" s="1">
        <f t="shared" si="16"/>
        <v>0</v>
      </c>
      <c r="I70" s="1"/>
    </row>
    <row r="71" spans="1:10">
      <c r="A71" t="s">
        <v>7</v>
      </c>
      <c r="C71" s="26">
        <f>H39+J39</f>
        <v>322800</v>
      </c>
      <c r="D71" s="26">
        <f>H40+J40</f>
        <v>284400</v>
      </c>
      <c r="E71" s="26">
        <f>H41+J41</f>
        <v>246000</v>
      </c>
      <c r="F71" s="26">
        <f>H42+J42</f>
        <v>191400</v>
      </c>
      <c r="G71" s="26">
        <f>H43+J43</f>
        <v>0</v>
      </c>
      <c r="H71" s="26">
        <f t="shared" si="16"/>
        <v>1044600</v>
      </c>
      <c r="I71" s="1"/>
    </row>
    <row r="72" spans="1:10">
      <c r="A72" t="s">
        <v>214</v>
      </c>
      <c r="C72" s="1">
        <v>0</v>
      </c>
      <c r="D72" s="1">
        <f>'Model  incomes statements '!C68</f>
        <v>266009.99760000018</v>
      </c>
      <c r="E72" s="1">
        <f>'Model  incomes statements '!D68</f>
        <v>277529.99760000018</v>
      </c>
      <c r="F72" s="1">
        <f>'Model  incomes statements '!E68</f>
        <v>289049.99760000018</v>
      </c>
      <c r="G72" s="1">
        <f>'Model  incomes statements '!F68</f>
        <v>309029.99760000018</v>
      </c>
      <c r="H72" s="1">
        <f>SUM(C72:G72)</f>
        <v>1141619.9904000007</v>
      </c>
      <c r="I72" s="1"/>
    </row>
    <row r="73" spans="1:10">
      <c r="A73" s="4" t="s">
        <v>23</v>
      </c>
      <c r="B73" s="4"/>
      <c r="C73" s="1">
        <f>SUM(C59:C72)</f>
        <v>9789800</v>
      </c>
      <c r="D73" s="1">
        <f>SUM(D59:D72)</f>
        <v>9757409.9976000004</v>
      </c>
      <c r="E73" s="1">
        <f t="shared" ref="E73:G73" si="22">SUM(E59:E72)</f>
        <v>9730529.9976000004</v>
      </c>
      <c r="F73" s="1">
        <f t="shared" si="22"/>
        <v>9687449.9976000004</v>
      </c>
      <c r="G73" s="1">
        <f t="shared" si="22"/>
        <v>9516029.9976000004</v>
      </c>
      <c r="H73" s="1">
        <f t="shared" si="16"/>
        <v>48481219.990400001</v>
      </c>
      <c r="I73" s="1">
        <f>SUM(H59:H72)</f>
        <v>48481219.990400001</v>
      </c>
    </row>
    <row r="74" spans="1:10">
      <c r="C74" s="1"/>
      <c r="D74" s="1"/>
      <c r="E74" s="1"/>
      <c r="F74" s="1"/>
      <c r="G74" s="1"/>
      <c r="H74" s="1">
        <f t="shared" si="16"/>
        <v>0</v>
      </c>
      <c r="I74" s="1"/>
    </row>
    <row r="75" spans="1:10">
      <c r="A75" s="4" t="s">
        <v>24</v>
      </c>
      <c r="B75" s="4"/>
      <c r="C75" s="1">
        <f>C57-C73</f>
        <v>-789800</v>
      </c>
      <c r="D75" s="1">
        <f t="shared" ref="D75:G75" si="23">D57-D73</f>
        <v>1042590.0023999996</v>
      </c>
      <c r="E75" s="1">
        <f t="shared" si="23"/>
        <v>1069470.0023999996</v>
      </c>
      <c r="F75" s="1">
        <f t="shared" si="23"/>
        <v>1112550.0023999996</v>
      </c>
      <c r="G75" s="1">
        <f t="shared" si="23"/>
        <v>1283970.0023999996</v>
      </c>
      <c r="H75" s="1">
        <f t="shared" si="16"/>
        <v>3718780.0095999986</v>
      </c>
      <c r="I75" s="1">
        <f>I57-I73</f>
        <v>3718780.0095999986</v>
      </c>
      <c r="J75" s="6"/>
    </row>
    <row r="76" spans="1:10">
      <c r="A76" t="s">
        <v>25</v>
      </c>
      <c r="B76">
        <v>-999000</v>
      </c>
      <c r="C76" s="1">
        <f>B76</f>
        <v>-999000</v>
      </c>
      <c r="D76" s="1">
        <f>C77</f>
        <v>-1788800</v>
      </c>
      <c r="E76" s="1">
        <f t="shared" ref="E76:G76" si="24">D77</f>
        <v>-746209.99760000035</v>
      </c>
      <c r="F76" s="1">
        <f t="shared" si="24"/>
        <v>323260.0047999993</v>
      </c>
      <c r="G76" s="1">
        <f t="shared" si="24"/>
        <v>1435810.0071999989</v>
      </c>
      <c r="H76" s="1">
        <f>C76</f>
        <v>-999000</v>
      </c>
      <c r="I76" s="1"/>
    </row>
    <row r="77" spans="1:10">
      <c r="A77" s="4" t="s">
        <v>26</v>
      </c>
      <c r="C77" s="30">
        <f>SUM(C75:C76)</f>
        <v>-1788800</v>
      </c>
      <c r="D77" s="30">
        <f t="shared" ref="D77:H77" si="25">SUM(D75:D76)</f>
        <v>-746209.99760000035</v>
      </c>
      <c r="E77" s="30">
        <f t="shared" si="25"/>
        <v>323260.0047999993</v>
      </c>
      <c r="F77" s="30">
        <f t="shared" si="25"/>
        <v>1435810.0071999989</v>
      </c>
      <c r="G77" s="30">
        <f t="shared" si="25"/>
        <v>2719780.0095999986</v>
      </c>
      <c r="H77" s="30">
        <f t="shared" si="25"/>
        <v>2719780.0095999986</v>
      </c>
      <c r="I77" s="6">
        <f>SUM(I75:I76)</f>
        <v>3718780.0095999986</v>
      </c>
    </row>
    <row r="81" spans="1:1">
      <c r="A81" t="s">
        <v>9</v>
      </c>
    </row>
  </sheetData>
  <phoneticPr fontId="10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18"/>
  <sheetViews>
    <sheetView topLeftCell="S1" workbookViewId="0">
      <selection activeCell="J10" sqref="J10"/>
    </sheetView>
  </sheetViews>
  <sheetFormatPr baseColWidth="10" defaultColWidth="8.83203125" defaultRowHeight="14"/>
  <cols>
    <col min="1" max="2" width="28.1640625" customWidth="1"/>
    <col min="3" max="3" width="25.83203125" customWidth="1"/>
    <col min="4" max="4" width="4" customWidth="1"/>
    <col min="5" max="5" width="18.33203125" customWidth="1"/>
    <col min="7" max="7" width="19" bestFit="1" customWidth="1"/>
    <col min="8" max="8" width="15.83203125" customWidth="1"/>
    <col min="9" max="9" width="14.6640625" customWidth="1"/>
    <col min="10" max="10" width="13" customWidth="1"/>
    <col min="11" max="12" width="13.5" customWidth="1"/>
    <col min="13" max="13" width="12.5" bestFit="1" customWidth="1"/>
  </cols>
  <sheetData>
    <row r="1" spans="1:13">
      <c r="B1" t="s">
        <v>124</v>
      </c>
    </row>
    <row r="2" spans="1:13">
      <c r="A2" t="s">
        <v>155</v>
      </c>
      <c r="C2" t="s">
        <v>154</v>
      </c>
      <c r="G2" t="s">
        <v>358</v>
      </c>
      <c r="H2" t="s">
        <v>133</v>
      </c>
      <c r="I2" t="s">
        <v>196</v>
      </c>
      <c r="J2" t="s">
        <v>135</v>
      </c>
      <c r="K2" t="s">
        <v>342</v>
      </c>
      <c r="L2" t="s">
        <v>138</v>
      </c>
      <c r="M2" t="s">
        <v>196</v>
      </c>
    </row>
    <row r="3" spans="1:13">
      <c r="A3" t="s">
        <v>293</v>
      </c>
      <c r="B3" t="s">
        <v>125</v>
      </c>
      <c r="C3" t="s">
        <v>163</v>
      </c>
      <c r="E3" s="1">
        <f>8000*20000*1.2</f>
        <v>192000000</v>
      </c>
      <c r="G3" s="1">
        <f>90000*22000</f>
        <v>1980000000</v>
      </c>
      <c r="H3" s="1">
        <f>E3*12</f>
        <v>2304000000</v>
      </c>
      <c r="I3" s="1">
        <f>H3-G3</f>
        <v>324000000</v>
      </c>
      <c r="J3" s="1">
        <f>(8000*10-90000)*24000</f>
        <v>-240000000</v>
      </c>
      <c r="K3" s="1">
        <f>90000*(24000-22000)</f>
        <v>180000000</v>
      </c>
      <c r="L3" s="1">
        <f>(12-10)*192000000</f>
        <v>384000000</v>
      </c>
      <c r="M3" s="1">
        <f>SUM(J3:L3)</f>
        <v>324000000</v>
      </c>
    </row>
    <row r="4" spans="1:13">
      <c r="A4" t="s">
        <v>292</v>
      </c>
      <c r="B4" t="s">
        <v>126</v>
      </c>
      <c r="C4" t="s">
        <v>157</v>
      </c>
      <c r="E4" s="1">
        <v>60000000</v>
      </c>
      <c r="G4" s="1">
        <v>620000000</v>
      </c>
      <c r="H4" s="1">
        <f>E4*12</f>
        <v>720000000</v>
      </c>
      <c r="I4" s="1">
        <f t="shared" ref="I4:I14" si="0">H4-G4</f>
        <v>100000000</v>
      </c>
      <c r="J4" s="1"/>
      <c r="K4" s="1">
        <f>10*60000000-620000000</f>
        <v>-20000000</v>
      </c>
      <c r="L4" s="1">
        <f>(12-10)*60000000</f>
        <v>120000000</v>
      </c>
      <c r="M4" s="1">
        <f t="shared" ref="M4:M11" si="1">SUM(J4:L4)</f>
        <v>100000000</v>
      </c>
    </row>
    <row r="5" spans="1:13">
      <c r="A5" t="s">
        <v>102</v>
      </c>
      <c r="B5" t="s">
        <v>127</v>
      </c>
      <c r="C5" t="s">
        <v>158</v>
      </c>
      <c r="E5" s="1">
        <v>12000000</v>
      </c>
      <c r="G5" s="1">
        <v>130000000</v>
      </c>
      <c r="H5" s="1">
        <f>E5*12</f>
        <v>144000000</v>
      </c>
      <c r="I5" s="1">
        <f t="shared" si="0"/>
        <v>14000000</v>
      </c>
      <c r="J5" s="1"/>
      <c r="K5" s="1"/>
      <c r="L5" s="1"/>
      <c r="M5" s="1">
        <f t="shared" si="1"/>
        <v>0</v>
      </c>
    </row>
    <row r="6" spans="1:13">
      <c r="A6" t="s">
        <v>192</v>
      </c>
      <c r="B6" t="s">
        <v>128</v>
      </c>
      <c r="C6" t="s">
        <v>156</v>
      </c>
      <c r="E6" s="1">
        <f>9000*3500</f>
        <v>31500000</v>
      </c>
      <c r="G6" s="1">
        <f>100000*3200</f>
        <v>320000000</v>
      </c>
      <c r="H6" s="1">
        <f t="shared" ref="H6:H11" si="2">E6*10</f>
        <v>315000000</v>
      </c>
      <c r="I6" s="1">
        <f t="shared" si="0"/>
        <v>-5000000</v>
      </c>
      <c r="J6" s="1"/>
      <c r="K6" s="1"/>
      <c r="L6" s="1"/>
      <c r="M6" s="1">
        <f t="shared" si="1"/>
        <v>0</v>
      </c>
    </row>
    <row r="7" spans="1:13">
      <c r="A7" t="s">
        <v>200</v>
      </c>
      <c r="B7" t="s">
        <v>129</v>
      </c>
      <c r="C7" t="s">
        <v>164</v>
      </c>
      <c r="E7" s="1">
        <v>100000000</v>
      </c>
      <c r="G7" s="1">
        <v>920000000</v>
      </c>
      <c r="H7" s="1">
        <f t="shared" si="2"/>
        <v>1000000000</v>
      </c>
      <c r="I7" s="1">
        <f t="shared" si="0"/>
        <v>80000000</v>
      </c>
      <c r="J7" s="1"/>
      <c r="K7" s="1"/>
      <c r="L7" s="1"/>
      <c r="M7" s="1">
        <f t="shared" si="1"/>
        <v>0</v>
      </c>
    </row>
    <row r="8" spans="1:13">
      <c r="A8" t="s">
        <v>117</v>
      </c>
      <c r="B8" t="s">
        <v>130</v>
      </c>
      <c r="C8" t="s">
        <v>159</v>
      </c>
      <c r="E8" s="1">
        <f>15000000/2</f>
        <v>7500000</v>
      </c>
      <c r="G8" s="1">
        <v>150000000</v>
      </c>
      <c r="H8" s="1">
        <f t="shared" si="2"/>
        <v>75000000</v>
      </c>
      <c r="I8" s="1">
        <f t="shared" si="0"/>
        <v>-75000000</v>
      </c>
      <c r="J8" s="1"/>
      <c r="K8" s="1"/>
      <c r="L8" s="1"/>
      <c r="M8" s="1">
        <f t="shared" si="1"/>
        <v>0</v>
      </c>
    </row>
    <row r="9" spans="1:13">
      <c r="A9" t="s">
        <v>320</v>
      </c>
      <c r="B9" t="s">
        <v>136</v>
      </c>
      <c r="C9" t="s">
        <v>160</v>
      </c>
      <c r="E9" s="1">
        <f>350000000/(7*24)</f>
        <v>2083333.3333333333</v>
      </c>
      <c r="G9" s="1">
        <v>17500000</v>
      </c>
      <c r="H9" s="1">
        <f t="shared" si="2"/>
        <v>20833333.333333332</v>
      </c>
      <c r="I9" s="1">
        <f t="shared" si="0"/>
        <v>3333333.3333333321</v>
      </c>
      <c r="J9" s="1"/>
      <c r="K9" s="1"/>
      <c r="L9" s="1"/>
      <c r="M9" s="1">
        <f t="shared" si="1"/>
        <v>0</v>
      </c>
    </row>
    <row r="10" spans="1:13">
      <c r="A10" t="s">
        <v>152</v>
      </c>
      <c r="B10" t="s">
        <v>137</v>
      </c>
      <c r="C10" t="s">
        <v>175</v>
      </c>
      <c r="E10" s="1">
        <f>170000000/(20*24)</f>
        <v>354166.66666666669</v>
      </c>
      <c r="G10" s="1">
        <v>4250000</v>
      </c>
      <c r="H10" s="1">
        <f t="shared" si="2"/>
        <v>3541666.666666667</v>
      </c>
      <c r="I10" s="1">
        <f t="shared" si="0"/>
        <v>-708333.33333333302</v>
      </c>
      <c r="J10" s="1"/>
      <c r="K10" s="1"/>
      <c r="L10" s="1"/>
      <c r="M10" s="1">
        <f t="shared" si="1"/>
        <v>0</v>
      </c>
    </row>
    <row r="11" spans="1:13">
      <c r="A11" t="s">
        <v>153</v>
      </c>
      <c r="B11" t="s">
        <v>134</v>
      </c>
      <c r="C11" t="s">
        <v>176</v>
      </c>
      <c r="E11" s="1">
        <f>(15000000*6)/(3*24)</f>
        <v>1250000</v>
      </c>
      <c r="G11" s="1">
        <v>6250000</v>
      </c>
      <c r="H11" s="1">
        <f t="shared" si="2"/>
        <v>12500000</v>
      </c>
      <c r="I11" s="1">
        <f t="shared" si="0"/>
        <v>6250000</v>
      </c>
      <c r="J11" s="1"/>
      <c r="K11" s="1"/>
      <c r="L11" s="1"/>
      <c r="M11" s="1">
        <f t="shared" si="1"/>
        <v>0</v>
      </c>
    </row>
    <row r="12" spans="1:13">
      <c r="A12" t="s">
        <v>161</v>
      </c>
      <c r="E12" s="1">
        <f>SUM(E3:E11)</f>
        <v>406687500</v>
      </c>
      <c r="G12" s="1">
        <f>SUM(G3:G11)</f>
        <v>4148000000</v>
      </c>
      <c r="H12" s="1">
        <f>SUM(H3:H11)</f>
        <v>4594875000</v>
      </c>
      <c r="I12" s="1">
        <f t="shared" si="0"/>
        <v>446875000</v>
      </c>
      <c r="J12" s="1">
        <f>SUM(I3:I11)</f>
        <v>446875000</v>
      </c>
      <c r="K12" s="1"/>
      <c r="L12" s="1"/>
      <c r="M12" s="1"/>
    </row>
    <row r="13" spans="1:13">
      <c r="A13" t="s">
        <v>30</v>
      </c>
      <c r="E13" s="1">
        <f>E12*0.2</f>
        <v>81337500</v>
      </c>
      <c r="G13" s="1">
        <v>4600000000</v>
      </c>
      <c r="H13" s="1">
        <f>E16*10</f>
        <v>4500000000</v>
      </c>
      <c r="I13" s="1">
        <f>G13-H13</f>
        <v>100000000</v>
      </c>
      <c r="J13" s="1"/>
      <c r="K13" s="1"/>
      <c r="L13" s="1"/>
      <c r="M13" s="1"/>
    </row>
    <row r="14" spans="1:13">
      <c r="A14" t="s">
        <v>342</v>
      </c>
      <c r="B14" t="s">
        <v>131</v>
      </c>
      <c r="E14" s="1">
        <f>E12+E13</f>
        <v>488025000</v>
      </c>
      <c r="F14" t="s">
        <v>132</v>
      </c>
      <c r="G14" s="1">
        <f>G13-G12</f>
        <v>452000000</v>
      </c>
      <c r="H14" s="1">
        <f>H13-H12</f>
        <v>-94875000</v>
      </c>
      <c r="I14" s="1">
        <f t="shared" si="0"/>
        <v>-546875000</v>
      </c>
      <c r="J14" s="1">
        <f>SUM(I12:I13)</f>
        <v>546875000</v>
      </c>
      <c r="K14" s="1"/>
      <c r="L14" s="1"/>
      <c r="M14" s="1"/>
    </row>
    <row r="15" spans="1:13">
      <c r="A15" s="4"/>
      <c r="B15" s="4"/>
      <c r="C15" s="4"/>
      <c r="D15" s="4"/>
      <c r="E15" s="2"/>
      <c r="G15" s="1"/>
      <c r="H15" s="1"/>
      <c r="I15" s="1"/>
      <c r="J15" s="1"/>
      <c r="K15" s="1"/>
      <c r="L15" s="1"/>
      <c r="M15" s="1"/>
    </row>
    <row r="16" spans="1:13">
      <c r="A16" t="s">
        <v>31</v>
      </c>
      <c r="C16" s="21">
        <f>E10*24/2</f>
        <v>4250000</v>
      </c>
      <c r="E16" s="1">
        <v>450000000</v>
      </c>
      <c r="G16" s="1"/>
      <c r="H16" s="1"/>
      <c r="I16" s="1"/>
      <c r="J16" s="1"/>
      <c r="K16" s="1"/>
      <c r="L16" s="1"/>
      <c r="M16" s="1"/>
    </row>
    <row r="17" spans="7:13">
      <c r="G17" s="1"/>
      <c r="H17" s="1"/>
      <c r="I17" s="1"/>
      <c r="J17" s="1"/>
      <c r="K17" s="1"/>
      <c r="L17" s="1"/>
      <c r="M17" s="1"/>
    </row>
    <row r="18" spans="7:13">
      <c r="G18" s="1"/>
      <c r="H18" s="1"/>
      <c r="I18" s="1"/>
      <c r="J18" s="1"/>
      <c r="K18" s="1"/>
      <c r="L18" s="1"/>
      <c r="M18" s="1"/>
    </row>
  </sheetData>
  <phoneticPr fontId="10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32"/>
  <sheetViews>
    <sheetView topLeftCell="A9" workbookViewId="0">
      <selection activeCell="I31" sqref="I31"/>
    </sheetView>
  </sheetViews>
  <sheetFormatPr baseColWidth="10" defaultColWidth="8.83203125" defaultRowHeight="14"/>
  <cols>
    <col min="1" max="1" width="38.5" customWidth="1"/>
    <col min="2" max="2" width="35.33203125" customWidth="1"/>
    <col min="3" max="3" width="11.83203125" bestFit="1" customWidth="1"/>
    <col min="4" max="4" width="17.6640625" bestFit="1" customWidth="1"/>
    <col min="5" max="5" width="11.5" customWidth="1"/>
    <col min="6" max="6" width="12" customWidth="1"/>
    <col min="7" max="7" width="12.83203125" customWidth="1"/>
    <col min="8" max="8" width="11.5" customWidth="1"/>
    <col min="9" max="9" width="15.33203125" customWidth="1"/>
    <col min="10" max="10" width="10.6640625" customWidth="1"/>
  </cols>
  <sheetData>
    <row r="1" spans="1:13" ht="18">
      <c r="C1" s="126" t="s">
        <v>40</v>
      </c>
      <c r="D1" s="126"/>
      <c r="E1" s="126"/>
      <c r="F1" s="126"/>
      <c r="G1" s="126"/>
      <c r="H1" s="126"/>
    </row>
    <row r="3" spans="1:13">
      <c r="A3" t="s">
        <v>264</v>
      </c>
      <c r="B3" t="s">
        <v>174</v>
      </c>
      <c r="C3" s="105">
        <v>1</v>
      </c>
      <c r="D3" s="105">
        <v>2</v>
      </c>
      <c r="E3" s="105">
        <v>3</v>
      </c>
      <c r="F3" s="105">
        <v>4</v>
      </c>
      <c r="G3" s="105">
        <v>5</v>
      </c>
      <c r="H3" s="105" t="s">
        <v>196</v>
      </c>
      <c r="I3" s="11"/>
      <c r="J3" s="11"/>
      <c r="K3" s="11"/>
      <c r="L3" s="11"/>
    </row>
    <row r="4" spans="1:13" hidden="1">
      <c r="A4" t="s">
        <v>108</v>
      </c>
      <c r="B4">
        <v>0</v>
      </c>
      <c r="C4">
        <v>24</v>
      </c>
      <c r="D4">
        <v>24</v>
      </c>
      <c r="E4">
        <v>24</v>
      </c>
      <c r="F4">
        <v>24</v>
      </c>
      <c r="G4">
        <v>24</v>
      </c>
      <c r="H4">
        <f>SUM(C4:G4)</f>
        <v>120</v>
      </c>
      <c r="I4" s="11"/>
      <c r="J4" s="11"/>
      <c r="K4" s="11"/>
      <c r="L4" s="11"/>
      <c r="M4" s="11"/>
    </row>
    <row r="5" spans="1:13" hidden="1">
      <c r="A5" t="s">
        <v>165</v>
      </c>
      <c r="C5" s="8">
        <v>450000</v>
      </c>
      <c r="D5" s="8">
        <f>C5</f>
        <v>450000</v>
      </c>
      <c r="E5" s="8">
        <f t="shared" ref="E5:G5" si="0">D5</f>
        <v>450000</v>
      </c>
      <c r="F5" s="8">
        <f t="shared" si="0"/>
        <v>450000</v>
      </c>
      <c r="G5" s="8">
        <f t="shared" si="0"/>
        <v>450000</v>
      </c>
      <c r="H5" s="1"/>
      <c r="I5" s="8"/>
      <c r="J5" s="11"/>
      <c r="K5" s="11"/>
      <c r="L5" s="11"/>
    </row>
    <row r="6" spans="1:13">
      <c r="A6" t="s">
        <v>179</v>
      </c>
      <c r="B6" s="19"/>
      <c r="C6" s="79">
        <f>'Year 1 CF Projection (5)'!Q7</f>
        <v>9000000</v>
      </c>
      <c r="D6" s="79">
        <f>'5 Yr IS Projections'!C5*2/12+'5 Yr IS Projections'!D5*10/12</f>
        <v>10800000</v>
      </c>
      <c r="E6" s="79">
        <f>'5 Yr IS Projections'!D5*2/12+'5 Yr IS Projections'!E5*10/12</f>
        <v>10800000</v>
      </c>
      <c r="F6" s="79">
        <f>'5 Yr IS Projections'!E5*2/12+'5 Yr IS Projections'!F5*10/12</f>
        <v>10800000</v>
      </c>
      <c r="G6" s="79">
        <f>'5 Yr IS Projections'!F5*2/12+'5 Yr IS Projections'!G5*10/12</f>
        <v>10800000</v>
      </c>
      <c r="H6" s="66">
        <f t="shared" ref="H6:H27" si="1">SUM(C6:G6)</f>
        <v>52200000</v>
      </c>
      <c r="I6" s="8"/>
      <c r="J6" s="11"/>
      <c r="K6" s="11"/>
      <c r="L6" s="11"/>
    </row>
    <row r="7" spans="1:13">
      <c r="A7" t="s">
        <v>282</v>
      </c>
      <c r="C7" s="8">
        <f>'Year 1 CF Projection (5)'!Q8</f>
        <v>0</v>
      </c>
      <c r="D7" s="1"/>
      <c r="E7" s="1"/>
      <c r="F7" s="1"/>
      <c r="G7" s="1"/>
      <c r="H7" s="1">
        <f t="shared" si="1"/>
        <v>0</v>
      </c>
      <c r="I7" s="1"/>
      <c r="J7" s="15"/>
      <c r="K7" s="15"/>
      <c r="L7" s="15"/>
    </row>
    <row r="8" spans="1:13">
      <c r="A8" t="s">
        <v>180</v>
      </c>
      <c r="C8" s="8">
        <f>'Year 1 CF Projection (5)'!Q9</f>
        <v>0</v>
      </c>
      <c r="D8" s="8"/>
      <c r="E8" s="8"/>
      <c r="F8" s="8"/>
      <c r="G8" s="8"/>
      <c r="H8" s="1">
        <f t="shared" si="1"/>
        <v>0</v>
      </c>
      <c r="I8" s="8"/>
      <c r="J8" s="11"/>
      <c r="K8" s="11"/>
      <c r="L8" s="11"/>
    </row>
    <row r="9" spans="1:13" ht="15" thickBot="1">
      <c r="A9" s="18" t="s">
        <v>21</v>
      </c>
      <c r="B9" s="18"/>
      <c r="C9" s="89">
        <f t="shared" ref="C9:G9" si="2">SUM(C6:C8)</f>
        <v>9000000</v>
      </c>
      <c r="D9" s="89">
        <f t="shared" si="2"/>
        <v>10800000</v>
      </c>
      <c r="E9" s="89">
        <f t="shared" si="2"/>
        <v>10800000</v>
      </c>
      <c r="F9" s="89">
        <f t="shared" si="2"/>
        <v>10800000</v>
      </c>
      <c r="G9" s="89">
        <f t="shared" si="2"/>
        <v>10800000</v>
      </c>
      <c r="H9" s="47">
        <f t="shared" si="1"/>
        <v>52200000</v>
      </c>
      <c r="I9" s="8"/>
      <c r="J9" s="11"/>
      <c r="K9" s="11"/>
      <c r="L9" s="11"/>
    </row>
    <row r="10" spans="1:13" ht="15" thickTop="1">
      <c r="A10" t="s">
        <v>22</v>
      </c>
      <c r="C10" s="8"/>
      <c r="D10" s="8"/>
      <c r="E10" s="8"/>
      <c r="F10" s="8"/>
      <c r="G10" s="8"/>
      <c r="H10" s="1"/>
      <c r="I10" s="8"/>
      <c r="J10" s="11"/>
      <c r="K10" s="11"/>
      <c r="L10" s="11"/>
    </row>
    <row r="11" spans="1:13">
      <c r="A11" t="s">
        <v>33</v>
      </c>
      <c r="C11" s="26">
        <f>'Year 1 CF Projection (5)'!Q12</f>
        <v>0</v>
      </c>
      <c r="D11" s="1"/>
      <c r="E11" s="1"/>
      <c r="F11" s="1"/>
      <c r="G11" s="1"/>
      <c r="H11" s="1">
        <f t="shared" si="1"/>
        <v>0</v>
      </c>
      <c r="I11" s="1"/>
    </row>
    <row r="12" spans="1:13">
      <c r="A12" t="s">
        <v>34</v>
      </c>
      <c r="C12" s="26">
        <f>'Year 1 CF Projection (5)'!Q13</f>
        <v>170000</v>
      </c>
      <c r="D12" s="1"/>
      <c r="E12" s="1"/>
      <c r="F12" s="1"/>
      <c r="G12" s="1"/>
      <c r="H12" s="1">
        <f t="shared" si="1"/>
        <v>170000</v>
      </c>
      <c r="I12" s="1"/>
    </row>
    <row r="13" spans="1:13">
      <c r="A13" t="s">
        <v>100</v>
      </c>
      <c r="C13" s="29">
        <f>'Year 1 CF Projection (5)'!Q14</f>
        <v>90000</v>
      </c>
      <c r="D13" s="1"/>
      <c r="E13" s="1"/>
      <c r="F13" s="1"/>
      <c r="G13" s="1"/>
      <c r="H13" s="1">
        <f t="shared" si="1"/>
        <v>90000</v>
      </c>
      <c r="I13" s="1"/>
    </row>
    <row r="14" spans="1:13">
      <c r="A14" t="s">
        <v>99</v>
      </c>
      <c r="B14" t="s">
        <v>172</v>
      </c>
      <c r="C14" s="29">
        <f>'Year 1 CF Projection (5)'!Q15</f>
        <v>4608000</v>
      </c>
      <c r="D14" s="1">
        <f>C14</f>
        <v>4608000</v>
      </c>
      <c r="E14" s="1">
        <f t="shared" ref="E14:G14" si="3">D14</f>
        <v>4608000</v>
      </c>
      <c r="F14" s="1">
        <f t="shared" si="3"/>
        <v>4608000</v>
      </c>
      <c r="G14" s="1">
        <f t="shared" si="3"/>
        <v>4608000</v>
      </c>
      <c r="H14" s="1">
        <f t="shared" si="1"/>
        <v>23040000</v>
      </c>
      <c r="I14" s="1"/>
    </row>
    <row r="15" spans="1:13">
      <c r="A15" t="s">
        <v>292</v>
      </c>
      <c r="B15" t="s">
        <v>157</v>
      </c>
      <c r="C15" s="29">
        <f>'Year 1 CF Projection (5)'!Q16</f>
        <v>1440000</v>
      </c>
      <c r="D15" s="1">
        <f t="shared" ref="D15:G22" si="4">C15</f>
        <v>1440000</v>
      </c>
      <c r="E15" s="1">
        <f t="shared" si="4"/>
        <v>1440000</v>
      </c>
      <c r="F15" s="1">
        <f t="shared" si="4"/>
        <v>1440000</v>
      </c>
      <c r="G15" s="1">
        <f t="shared" si="4"/>
        <v>1440000</v>
      </c>
      <c r="H15" s="1">
        <f t="shared" si="1"/>
        <v>7200000</v>
      </c>
      <c r="I15" s="1"/>
    </row>
    <row r="16" spans="1:13">
      <c r="A16" t="s">
        <v>102</v>
      </c>
      <c r="B16" t="s">
        <v>158</v>
      </c>
      <c r="C16" s="26">
        <f>'Year 1 CF Projection (5)'!Q17</f>
        <v>360000</v>
      </c>
      <c r="D16" s="1">
        <f t="shared" si="4"/>
        <v>360000</v>
      </c>
      <c r="E16" s="1">
        <f t="shared" si="4"/>
        <v>360000</v>
      </c>
      <c r="F16" s="1">
        <f t="shared" si="4"/>
        <v>360000</v>
      </c>
      <c r="G16" s="1">
        <f t="shared" si="4"/>
        <v>360000</v>
      </c>
      <c r="H16" s="1">
        <f t="shared" si="1"/>
        <v>1800000</v>
      </c>
      <c r="I16" s="1"/>
    </row>
    <row r="17" spans="1:13">
      <c r="A17" t="s">
        <v>192</v>
      </c>
      <c r="B17" t="s">
        <v>156</v>
      </c>
      <c r="C17" s="29">
        <f>'Year 1 CF Projection (5)'!Q18</f>
        <v>756000</v>
      </c>
      <c r="D17" s="1">
        <f t="shared" si="4"/>
        <v>756000</v>
      </c>
      <c r="E17" s="1">
        <f t="shared" si="4"/>
        <v>756000</v>
      </c>
      <c r="F17" s="1">
        <f t="shared" si="4"/>
        <v>756000</v>
      </c>
      <c r="G17" s="1">
        <f t="shared" si="4"/>
        <v>756000</v>
      </c>
      <c r="H17" s="1">
        <f t="shared" si="1"/>
        <v>3780000</v>
      </c>
      <c r="I17" s="1"/>
    </row>
    <row r="18" spans="1:13">
      <c r="A18" t="s">
        <v>200</v>
      </c>
      <c r="B18" t="s">
        <v>164</v>
      </c>
      <c r="C18" s="29">
        <f>'Year 1 CF Projection (5)'!Q19</f>
        <v>2400000</v>
      </c>
      <c r="D18" s="1">
        <f t="shared" si="4"/>
        <v>2400000</v>
      </c>
      <c r="E18" s="1">
        <f t="shared" si="4"/>
        <v>2400000</v>
      </c>
      <c r="F18" s="1">
        <f t="shared" si="4"/>
        <v>2400000</v>
      </c>
      <c r="G18" s="1">
        <f t="shared" si="4"/>
        <v>2400000</v>
      </c>
      <c r="H18" s="1">
        <f t="shared" si="1"/>
        <v>12000000</v>
      </c>
      <c r="I18" s="1"/>
    </row>
    <row r="19" spans="1:13">
      <c r="A19" t="s">
        <v>117</v>
      </c>
      <c r="B19" t="s">
        <v>159</v>
      </c>
      <c r="C19" s="29">
        <f>'Year 1 CF Projection (5)'!Q20</f>
        <v>90000</v>
      </c>
      <c r="D19" s="1">
        <f t="shared" si="4"/>
        <v>90000</v>
      </c>
      <c r="E19" s="1">
        <f t="shared" si="4"/>
        <v>90000</v>
      </c>
      <c r="F19" s="1">
        <f t="shared" si="4"/>
        <v>90000</v>
      </c>
      <c r="G19" s="1">
        <f t="shared" si="4"/>
        <v>90000</v>
      </c>
      <c r="H19" s="1">
        <f t="shared" si="1"/>
        <v>450000</v>
      </c>
      <c r="I19" s="1"/>
    </row>
    <row r="20" spans="1:13">
      <c r="A20" t="s">
        <v>35</v>
      </c>
      <c r="B20" t="s">
        <v>36</v>
      </c>
      <c r="C20" s="29">
        <f>'Year 1 CF Projection (5)'!Q21</f>
        <v>120000</v>
      </c>
      <c r="D20" s="1">
        <f t="shared" si="4"/>
        <v>120000</v>
      </c>
      <c r="E20" s="1">
        <f t="shared" si="4"/>
        <v>120000</v>
      </c>
      <c r="F20" s="1">
        <f t="shared" si="4"/>
        <v>120000</v>
      </c>
      <c r="G20" s="1">
        <f t="shared" si="4"/>
        <v>120000</v>
      </c>
      <c r="H20" s="1">
        <f t="shared" si="1"/>
        <v>600000</v>
      </c>
      <c r="I20" s="1"/>
    </row>
    <row r="21" spans="1:13">
      <c r="A21" t="s">
        <v>168</v>
      </c>
      <c r="B21" t="s">
        <v>170</v>
      </c>
      <c r="C21" s="29">
        <f>'Year 1 CF Projection (5)'!Q22</f>
        <v>0</v>
      </c>
      <c r="D21" s="1">
        <f t="shared" si="4"/>
        <v>0</v>
      </c>
      <c r="E21" s="1">
        <f t="shared" si="4"/>
        <v>0</v>
      </c>
      <c r="F21" s="1">
        <f t="shared" si="4"/>
        <v>0</v>
      </c>
      <c r="G21" s="1">
        <f t="shared" si="4"/>
        <v>0</v>
      </c>
      <c r="H21" s="1">
        <f t="shared" si="1"/>
        <v>0</v>
      </c>
      <c r="I21" s="1"/>
    </row>
    <row r="22" spans="1:13">
      <c r="A22" t="s">
        <v>169</v>
      </c>
      <c r="B22" t="s">
        <v>171</v>
      </c>
      <c r="C22" s="29">
        <f>'Year 1 CF Projection (5)'!Q23</f>
        <v>0</v>
      </c>
      <c r="D22" s="1">
        <f t="shared" si="4"/>
        <v>0</v>
      </c>
      <c r="E22" s="1">
        <f t="shared" si="4"/>
        <v>0</v>
      </c>
      <c r="F22" s="1">
        <f t="shared" si="4"/>
        <v>0</v>
      </c>
      <c r="G22" s="1">
        <f t="shared" si="4"/>
        <v>0</v>
      </c>
      <c r="H22" s="1">
        <f t="shared" si="1"/>
        <v>0</v>
      </c>
      <c r="I22" s="1"/>
    </row>
    <row r="23" spans="1:13">
      <c r="A23" t="s">
        <v>7</v>
      </c>
      <c r="C23" s="26">
        <f>Interest!E5+Interest!G5</f>
        <v>322800</v>
      </c>
      <c r="D23" s="26">
        <f>Interest!E6+Interest!G6</f>
        <v>284400</v>
      </c>
      <c r="E23" s="26">
        <f>Interest!E7+Interest!G7</f>
        <v>246000</v>
      </c>
      <c r="F23" s="26">
        <f>Interest!E8+Interest!G8</f>
        <v>191400</v>
      </c>
      <c r="G23" s="26">
        <v>0</v>
      </c>
      <c r="H23" s="26">
        <f t="shared" si="1"/>
        <v>1044600</v>
      </c>
      <c r="I23" s="1"/>
    </row>
    <row r="24" spans="1:13">
      <c r="A24" t="s">
        <v>214</v>
      </c>
      <c r="C24" s="1">
        <v>0</v>
      </c>
      <c r="D24" s="1">
        <f>'5 Yr IS Projections (5)'!C23</f>
        <v>266009.99760000018</v>
      </c>
      <c r="E24" s="1">
        <f>'5 Yr IS Projections (5)'!D23</f>
        <v>277529.99760000018</v>
      </c>
      <c r="F24" s="1">
        <f>'5 Yr IS Projections (5)'!E23</f>
        <v>289049.99760000018</v>
      </c>
      <c r="G24" s="1">
        <f>'5 Yr IS Projections (5)'!F23</f>
        <v>309029.99760000018</v>
      </c>
      <c r="H24" s="1">
        <f>SUM(C24:G24)</f>
        <v>1141619.9904000007</v>
      </c>
      <c r="I24" s="1"/>
    </row>
    <row r="25" spans="1:13">
      <c r="A25" s="4" t="s">
        <v>23</v>
      </c>
      <c r="B25" s="4"/>
      <c r="C25" s="66">
        <f>SUM(C11:C24)</f>
        <v>10356800</v>
      </c>
      <c r="D25" s="66">
        <f>SUM(D11:D24)</f>
        <v>10324409.9976</v>
      </c>
      <c r="E25" s="66">
        <f t="shared" ref="E25:G25" si="5">SUM(E11:E24)</f>
        <v>10297529.9976</v>
      </c>
      <c r="F25" s="66">
        <f t="shared" si="5"/>
        <v>10254449.9976</v>
      </c>
      <c r="G25" s="66">
        <f t="shared" si="5"/>
        <v>10083029.9976</v>
      </c>
      <c r="H25" s="66">
        <f t="shared" si="1"/>
        <v>51316219.990400001</v>
      </c>
      <c r="I25" s="1"/>
    </row>
    <row r="26" spans="1:13">
      <c r="C26" s="1"/>
      <c r="D26" s="1"/>
      <c r="E26" s="1"/>
      <c r="F26" s="1"/>
      <c r="G26" s="1"/>
      <c r="H26" s="1">
        <f t="shared" si="1"/>
        <v>0</v>
      </c>
      <c r="I26" s="1"/>
    </row>
    <row r="27" spans="1:13">
      <c r="A27" s="4" t="s">
        <v>41</v>
      </c>
      <c r="B27" s="4"/>
      <c r="C27" s="1">
        <f>C9-C25</f>
        <v>-1356800</v>
      </c>
      <c r="D27" s="1">
        <f t="shared" ref="D27:G27" si="6">D9-D25</f>
        <v>475590.00239999965</v>
      </c>
      <c r="E27" s="1">
        <f t="shared" si="6"/>
        <v>502470.00239999965</v>
      </c>
      <c r="F27" s="1">
        <f t="shared" si="6"/>
        <v>545550.00239999965</v>
      </c>
      <c r="G27" s="1">
        <f t="shared" si="6"/>
        <v>716970.00239999965</v>
      </c>
      <c r="H27" s="1">
        <f t="shared" si="1"/>
        <v>883780.00959999859</v>
      </c>
      <c r="I27" s="1"/>
      <c r="J27" s="13"/>
      <c r="K27" s="13"/>
      <c r="L27" s="13"/>
      <c r="M27" s="13"/>
    </row>
    <row r="28" spans="1:13">
      <c r="A28" t="s">
        <v>25</v>
      </c>
      <c r="C28" s="1">
        <f>'BS 2006-07'!F13</f>
        <v>-999000</v>
      </c>
      <c r="D28" s="1">
        <f>C29</f>
        <v>-2355800</v>
      </c>
      <c r="E28" s="1">
        <f t="shared" ref="E28:G28" si="7">D29</f>
        <v>-1880209.9976000004</v>
      </c>
      <c r="F28" s="1">
        <f t="shared" si="7"/>
        <v>-1377739.9952000007</v>
      </c>
      <c r="G28" s="1">
        <f t="shared" si="7"/>
        <v>-832189.99280000106</v>
      </c>
      <c r="H28" s="1">
        <f>C28</f>
        <v>-999000</v>
      </c>
      <c r="I28" s="1"/>
    </row>
    <row r="29" spans="1:13" ht="15" thickBot="1">
      <c r="A29" s="4" t="s">
        <v>26</v>
      </c>
      <c r="C29" s="120">
        <f>SUM(C27:C28)</f>
        <v>-2355800</v>
      </c>
      <c r="D29" s="120">
        <f t="shared" ref="D29:H29" si="8">SUM(D27:D28)</f>
        <v>-1880209.9976000004</v>
      </c>
      <c r="E29" s="120">
        <f t="shared" si="8"/>
        <v>-1377739.9952000007</v>
      </c>
      <c r="F29" s="120">
        <f t="shared" si="8"/>
        <v>-832189.99280000106</v>
      </c>
      <c r="G29" s="120">
        <f t="shared" si="8"/>
        <v>-115219.99040000141</v>
      </c>
      <c r="H29" s="120">
        <f t="shared" si="8"/>
        <v>-115219.99040000141</v>
      </c>
      <c r="I29" s="101"/>
    </row>
    <row r="30" spans="1:13" ht="15" thickTop="1"/>
    <row r="31" spans="1:13" s="99" customFormat="1">
      <c r="A31" s="98" t="s">
        <v>288</v>
      </c>
      <c r="C31" s="101">
        <f>(C28+C29)/2</f>
        <v>-1677400</v>
      </c>
      <c r="D31" s="101">
        <f>C32+(D28+D29)/2</f>
        <v>-2453484.9988000002</v>
      </c>
      <c r="E31" s="101">
        <f t="shared" ref="E31:G31" si="9">D32+(E28+E29)/2</f>
        <v>-2119671.9961600006</v>
      </c>
      <c r="F31" s="101">
        <f t="shared" si="9"/>
        <v>-1528899.393232001</v>
      </c>
      <c r="G31" s="101">
        <f t="shared" si="9"/>
        <v>-779484.87024640152</v>
      </c>
      <c r="H31" s="101"/>
    </row>
    <row r="32" spans="1:13">
      <c r="A32" t="s">
        <v>287</v>
      </c>
      <c r="B32" s="100">
        <v>0.2</v>
      </c>
      <c r="C32" s="101">
        <f>C31*$B$32</f>
        <v>-335480</v>
      </c>
      <c r="D32" s="101">
        <f t="shared" ref="D32:G32" si="10">D31*$B$32</f>
        <v>-490696.99976000004</v>
      </c>
      <c r="E32" s="101">
        <f t="shared" si="10"/>
        <v>-423934.39923200011</v>
      </c>
      <c r="F32" s="101">
        <f t="shared" si="10"/>
        <v>-305779.87864640023</v>
      </c>
      <c r="G32" s="101">
        <f t="shared" si="10"/>
        <v>-155896.97404928031</v>
      </c>
      <c r="H32" s="101">
        <f>SUM(C32:G32)</f>
        <v>-1711788.2516876808</v>
      </c>
    </row>
  </sheetData>
  <sheetCalcPr fullCalcOnLoad="1"/>
  <mergeCells count="1">
    <mergeCell ref="C1:H1"/>
  </mergeCells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32"/>
  <sheetViews>
    <sheetView topLeftCell="A11" workbookViewId="0">
      <selection activeCell="C29" sqref="C29:H29"/>
    </sheetView>
  </sheetViews>
  <sheetFormatPr baseColWidth="10" defaultColWidth="8.83203125" defaultRowHeight="14"/>
  <cols>
    <col min="1" max="1" width="38.5" customWidth="1"/>
    <col min="2" max="2" width="35.33203125" customWidth="1"/>
    <col min="3" max="3" width="11.83203125" bestFit="1" customWidth="1"/>
    <col min="4" max="4" width="17.6640625" bestFit="1" customWidth="1"/>
    <col min="5" max="5" width="11.5" customWidth="1"/>
    <col min="6" max="6" width="12" customWidth="1"/>
    <col min="7" max="7" width="12.83203125" customWidth="1"/>
    <col min="8" max="8" width="11.5" customWidth="1"/>
    <col min="9" max="9" width="15.33203125" customWidth="1"/>
    <col min="10" max="10" width="10.6640625" customWidth="1"/>
  </cols>
  <sheetData>
    <row r="1" spans="1:13" ht="18">
      <c r="C1" s="126" t="s">
        <v>40</v>
      </c>
      <c r="D1" s="126"/>
      <c r="E1" s="126"/>
      <c r="F1" s="126"/>
      <c r="G1" s="126"/>
      <c r="H1" s="126"/>
    </row>
    <row r="3" spans="1:13">
      <c r="A3" t="s">
        <v>264</v>
      </c>
      <c r="B3" t="s">
        <v>174</v>
      </c>
      <c r="C3" s="105">
        <v>1</v>
      </c>
      <c r="D3" s="105">
        <v>2</v>
      </c>
      <c r="E3" s="105">
        <v>3</v>
      </c>
      <c r="F3" s="105">
        <v>4</v>
      </c>
      <c r="G3" s="105">
        <v>5</v>
      </c>
      <c r="H3" s="105" t="s">
        <v>196</v>
      </c>
      <c r="I3" s="11"/>
      <c r="J3" s="11"/>
      <c r="K3" s="11"/>
      <c r="L3" s="11"/>
    </row>
    <row r="4" spans="1:13" hidden="1">
      <c r="A4" t="s">
        <v>108</v>
      </c>
      <c r="B4">
        <v>0</v>
      </c>
      <c r="C4">
        <v>24</v>
      </c>
      <c r="D4">
        <v>24</v>
      </c>
      <c r="E4">
        <v>24</v>
      </c>
      <c r="F4">
        <v>24</v>
      </c>
      <c r="G4">
        <v>24</v>
      </c>
      <c r="H4">
        <f>SUM(C4:G4)</f>
        <v>120</v>
      </c>
      <c r="I4" s="11"/>
      <c r="J4" s="11"/>
      <c r="K4" s="11"/>
      <c r="L4" s="11"/>
      <c r="M4" s="11"/>
    </row>
    <row r="5" spans="1:13" hidden="1">
      <c r="A5" t="s">
        <v>165</v>
      </c>
      <c r="C5" s="8">
        <v>450000</v>
      </c>
      <c r="D5" s="8">
        <f>C5</f>
        <v>450000</v>
      </c>
      <c r="E5" s="8">
        <f t="shared" ref="E5:G5" si="0">D5</f>
        <v>450000</v>
      </c>
      <c r="F5" s="8">
        <f t="shared" si="0"/>
        <v>450000</v>
      </c>
      <c r="G5" s="8">
        <f t="shared" si="0"/>
        <v>450000</v>
      </c>
      <c r="H5" s="1"/>
      <c r="I5" s="8"/>
      <c r="J5" s="11"/>
      <c r="K5" s="11"/>
      <c r="L5" s="11"/>
    </row>
    <row r="6" spans="1:13">
      <c r="A6" t="s">
        <v>179</v>
      </c>
      <c r="B6" s="19"/>
      <c r="C6" s="79">
        <f>'Year 1 CF Projection'!Q7</f>
        <v>9000000</v>
      </c>
      <c r="D6" s="79">
        <f>'5 Yr IS Projections'!C5*2/12+'5 Yr IS Projections'!D5*10/12</f>
        <v>10800000</v>
      </c>
      <c r="E6" s="79">
        <f>'5 Yr IS Projections'!D5*2/12+'5 Yr IS Projections'!E5*10/12</f>
        <v>10800000</v>
      </c>
      <c r="F6" s="79">
        <f>'5 Yr IS Projections'!E5*2/12+'5 Yr IS Projections'!F5*10/12</f>
        <v>10800000</v>
      </c>
      <c r="G6" s="79">
        <f>'5 Yr IS Projections'!F5*2/12+'5 Yr IS Projections'!G5*10/12</f>
        <v>10800000</v>
      </c>
      <c r="H6" s="66">
        <f t="shared" ref="H6:H27" si="1">SUM(C6:G6)</f>
        <v>52200000</v>
      </c>
      <c r="I6" s="8"/>
      <c r="J6" s="11"/>
      <c r="K6" s="11"/>
      <c r="L6" s="11"/>
    </row>
    <row r="7" spans="1:13">
      <c r="A7" t="s">
        <v>282</v>
      </c>
      <c r="C7" s="8">
        <f>'Year 1 CF Projection'!Q8</f>
        <v>0</v>
      </c>
      <c r="D7" s="1"/>
      <c r="E7" s="1"/>
      <c r="F7" s="1"/>
      <c r="G7" s="1"/>
      <c r="H7" s="1">
        <f t="shared" si="1"/>
        <v>0</v>
      </c>
      <c r="I7" s="1"/>
      <c r="J7" s="15"/>
      <c r="K7" s="15"/>
      <c r="L7" s="15"/>
    </row>
    <row r="8" spans="1:13">
      <c r="A8" t="s">
        <v>180</v>
      </c>
      <c r="C8" s="8">
        <f>'Year 1 CF Projection'!Q9</f>
        <v>0</v>
      </c>
      <c r="D8" s="8"/>
      <c r="E8" s="8"/>
      <c r="F8" s="8"/>
      <c r="G8" s="8"/>
      <c r="H8" s="1">
        <f t="shared" si="1"/>
        <v>0</v>
      </c>
      <c r="I8" s="8"/>
      <c r="J8" s="11"/>
      <c r="K8" s="11"/>
      <c r="L8" s="11"/>
    </row>
    <row r="9" spans="1:13" ht="15" thickBot="1">
      <c r="A9" s="18" t="s">
        <v>21</v>
      </c>
      <c r="B9" s="18"/>
      <c r="C9" s="89">
        <f t="shared" ref="C9:G9" si="2">SUM(C6:C8)</f>
        <v>9000000</v>
      </c>
      <c r="D9" s="89">
        <f t="shared" si="2"/>
        <v>10800000</v>
      </c>
      <c r="E9" s="89">
        <f t="shared" si="2"/>
        <v>10800000</v>
      </c>
      <c r="F9" s="89">
        <f t="shared" si="2"/>
        <v>10800000</v>
      </c>
      <c r="G9" s="89">
        <f t="shared" si="2"/>
        <v>10800000</v>
      </c>
      <c r="H9" s="47">
        <f t="shared" si="1"/>
        <v>52200000</v>
      </c>
      <c r="I9" s="8"/>
      <c r="J9" s="11"/>
      <c r="K9" s="11"/>
      <c r="L9" s="11"/>
    </row>
    <row r="10" spans="1:13" ht="15" thickTop="1">
      <c r="A10" t="s">
        <v>22</v>
      </c>
      <c r="C10" s="8"/>
      <c r="D10" s="8"/>
      <c r="E10" s="8"/>
      <c r="F10" s="8"/>
      <c r="G10" s="8"/>
      <c r="H10" s="1"/>
      <c r="I10" s="8"/>
      <c r="J10" s="11"/>
      <c r="K10" s="11"/>
      <c r="L10" s="11"/>
    </row>
    <row r="11" spans="1:13">
      <c r="A11" t="s">
        <v>33</v>
      </c>
      <c r="C11" s="1">
        <f>'Year 1 CF Projection (6)'!Q12</f>
        <v>500000</v>
      </c>
      <c r="D11" s="1"/>
      <c r="E11" s="1"/>
      <c r="F11" s="1"/>
      <c r="G11" s="1"/>
      <c r="H11" s="1">
        <f t="shared" si="1"/>
        <v>500000</v>
      </c>
      <c r="I11" s="1"/>
    </row>
    <row r="12" spans="1:13">
      <c r="A12" t="s">
        <v>34</v>
      </c>
      <c r="C12" s="1">
        <f>'Year 1 CF Projection (6)'!Q13</f>
        <v>520000</v>
      </c>
      <c r="D12" s="1"/>
      <c r="E12" s="1"/>
      <c r="F12" s="1"/>
      <c r="G12" s="1"/>
      <c r="H12" s="1">
        <f t="shared" si="1"/>
        <v>520000</v>
      </c>
      <c r="I12" s="1"/>
    </row>
    <row r="13" spans="1:13">
      <c r="A13" t="s">
        <v>100</v>
      </c>
      <c r="C13" s="1">
        <f>'Year 1 CF Projection (6)'!Q14</f>
        <v>90000</v>
      </c>
      <c r="D13" s="1"/>
      <c r="E13" s="1"/>
      <c r="F13" s="1"/>
      <c r="G13" s="1"/>
      <c r="H13" s="1">
        <f t="shared" si="1"/>
        <v>90000</v>
      </c>
      <c r="I13" s="1"/>
    </row>
    <row r="14" spans="1:13">
      <c r="A14" t="s">
        <v>99</v>
      </c>
      <c r="B14" t="s">
        <v>172</v>
      </c>
      <c r="C14" s="1">
        <f>'Year 1 CF Projection (6)'!Q15</f>
        <v>4224000</v>
      </c>
      <c r="D14" s="1">
        <f>C14/11*12</f>
        <v>4608000</v>
      </c>
      <c r="E14" s="1">
        <f t="shared" ref="E14:G14" si="3">D14</f>
        <v>4608000</v>
      </c>
      <c r="F14" s="1">
        <f t="shared" si="3"/>
        <v>4608000</v>
      </c>
      <c r="G14" s="1">
        <f t="shared" si="3"/>
        <v>4608000</v>
      </c>
      <c r="H14" s="1">
        <f t="shared" si="1"/>
        <v>22656000</v>
      </c>
      <c r="I14" s="1"/>
    </row>
    <row r="15" spans="1:13">
      <c r="A15" t="s">
        <v>292</v>
      </c>
      <c r="B15" t="s">
        <v>157</v>
      </c>
      <c r="C15" s="1">
        <f>'Year 1 CF Projection (6)'!Q16</f>
        <v>1440000</v>
      </c>
      <c r="D15" s="1">
        <f t="shared" ref="D15:G22" si="4">C15</f>
        <v>1440000</v>
      </c>
      <c r="E15" s="1">
        <f t="shared" si="4"/>
        <v>1440000</v>
      </c>
      <c r="F15" s="1">
        <f t="shared" si="4"/>
        <v>1440000</v>
      </c>
      <c r="G15" s="1">
        <f t="shared" si="4"/>
        <v>1440000</v>
      </c>
      <c r="H15" s="1">
        <f t="shared" si="1"/>
        <v>7200000</v>
      </c>
      <c r="I15" s="1"/>
    </row>
    <row r="16" spans="1:13">
      <c r="A16" t="s">
        <v>102</v>
      </c>
      <c r="B16" t="s">
        <v>158</v>
      </c>
      <c r="C16" s="1">
        <f>'Year 1 CF Projection (6)'!Q17</f>
        <v>288000</v>
      </c>
      <c r="D16" s="1">
        <f t="shared" si="4"/>
        <v>288000</v>
      </c>
      <c r="E16" s="1">
        <f t="shared" si="4"/>
        <v>288000</v>
      </c>
      <c r="F16" s="1">
        <f t="shared" si="4"/>
        <v>288000</v>
      </c>
      <c r="G16" s="1">
        <f t="shared" si="4"/>
        <v>288000</v>
      </c>
      <c r="H16" s="1">
        <f t="shared" si="1"/>
        <v>1440000</v>
      </c>
      <c r="I16" s="1"/>
    </row>
    <row r="17" spans="1:13">
      <c r="A17" t="s">
        <v>192</v>
      </c>
      <c r="B17" t="s">
        <v>156</v>
      </c>
      <c r="C17" s="1">
        <f>'Year 1 CF Projection (6)'!Q18</f>
        <v>693000</v>
      </c>
      <c r="D17" s="1">
        <f>C17/11*12</f>
        <v>756000</v>
      </c>
      <c r="E17" s="1">
        <f t="shared" si="4"/>
        <v>756000</v>
      </c>
      <c r="F17" s="1">
        <f t="shared" si="4"/>
        <v>756000</v>
      </c>
      <c r="G17" s="1">
        <f t="shared" si="4"/>
        <v>756000</v>
      </c>
      <c r="H17" s="1">
        <f t="shared" si="1"/>
        <v>3717000</v>
      </c>
      <c r="I17" s="1"/>
    </row>
    <row r="18" spans="1:13">
      <c r="A18" t="s">
        <v>200</v>
      </c>
      <c r="B18" t="s">
        <v>164</v>
      </c>
      <c r="C18" s="1">
        <f>'Year 1 CF Projection (6)'!Q19</f>
        <v>2400000</v>
      </c>
      <c r="D18" s="1">
        <f t="shared" si="4"/>
        <v>2400000</v>
      </c>
      <c r="E18" s="1">
        <f t="shared" si="4"/>
        <v>2400000</v>
      </c>
      <c r="F18" s="1">
        <f t="shared" si="4"/>
        <v>2400000</v>
      </c>
      <c r="G18" s="1">
        <f t="shared" si="4"/>
        <v>2400000</v>
      </c>
      <c r="H18" s="1">
        <f t="shared" si="1"/>
        <v>12000000</v>
      </c>
      <c r="I18" s="1"/>
    </row>
    <row r="19" spans="1:13">
      <c r="A19" t="s">
        <v>117</v>
      </c>
      <c r="B19" t="s">
        <v>159</v>
      </c>
      <c r="C19" s="1">
        <f>'Year 1 CF Projection (6)'!Q20</f>
        <v>90000</v>
      </c>
      <c r="D19" s="1">
        <f t="shared" si="4"/>
        <v>90000</v>
      </c>
      <c r="E19" s="1">
        <f t="shared" si="4"/>
        <v>90000</v>
      </c>
      <c r="F19" s="1">
        <f t="shared" si="4"/>
        <v>90000</v>
      </c>
      <c r="G19" s="1">
        <f t="shared" si="4"/>
        <v>90000</v>
      </c>
      <c r="H19" s="1">
        <f t="shared" si="1"/>
        <v>450000</v>
      </c>
      <c r="I19" s="1"/>
    </row>
    <row r="20" spans="1:13">
      <c r="A20" t="s">
        <v>35</v>
      </c>
      <c r="B20" t="s">
        <v>36</v>
      </c>
      <c r="C20" s="1">
        <f>'Year 1 CF Projection (6)'!Q21</f>
        <v>120000</v>
      </c>
      <c r="D20" s="1">
        <f t="shared" si="4"/>
        <v>120000</v>
      </c>
      <c r="E20" s="1">
        <f t="shared" si="4"/>
        <v>120000</v>
      </c>
      <c r="F20" s="1">
        <f t="shared" si="4"/>
        <v>120000</v>
      </c>
      <c r="G20" s="1">
        <f t="shared" si="4"/>
        <v>120000</v>
      </c>
      <c r="H20" s="1">
        <f t="shared" si="1"/>
        <v>600000</v>
      </c>
      <c r="I20" s="1"/>
    </row>
    <row r="21" spans="1:13">
      <c r="A21" t="s">
        <v>168</v>
      </c>
      <c r="B21" t="s">
        <v>170</v>
      </c>
      <c r="C21" s="1">
        <f>'Year 1 CF Projection (6)'!Q22</f>
        <v>0</v>
      </c>
      <c r="D21" s="1">
        <f t="shared" si="4"/>
        <v>0</v>
      </c>
      <c r="E21" s="1">
        <f t="shared" si="4"/>
        <v>0</v>
      </c>
      <c r="F21" s="1">
        <f t="shared" si="4"/>
        <v>0</v>
      </c>
      <c r="G21" s="1">
        <f t="shared" si="4"/>
        <v>0</v>
      </c>
      <c r="H21" s="1">
        <f t="shared" si="1"/>
        <v>0</v>
      </c>
      <c r="I21" s="1"/>
    </row>
    <row r="22" spans="1:13">
      <c r="A22" t="s">
        <v>169</v>
      </c>
      <c r="B22" t="s">
        <v>171</v>
      </c>
      <c r="C22" s="1">
        <f>'Year 1 CF Projection (6)'!Q23</f>
        <v>0</v>
      </c>
      <c r="D22" s="1">
        <f t="shared" si="4"/>
        <v>0</v>
      </c>
      <c r="E22" s="1">
        <f t="shared" si="4"/>
        <v>0</v>
      </c>
      <c r="F22" s="1">
        <f t="shared" si="4"/>
        <v>0</v>
      </c>
      <c r="G22" s="1">
        <f t="shared" si="4"/>
        <v>0</v>
      </c>
      <c r="H22" s="1">
        <f t="shared" si="1"/>
        <v>0</v>
      </c>
      <c r="I22" s="1"/>
    </row>
    <row r="23" spans="1:13">
      <c r="A23" t="s">
        <v>7</v>
      </c>
      <c r="C23" s="26">
        <f>Interest!E5+Interest!G5</f>
        <v>322800</v>
      </c>
      <c r="D23" s="26">
        <f>Interest!E6+Interest!G6</f>
        <v>284400</v>
      </c>
      <c r="E23" s="26">
        <f>Interest!E7+Interest!G7</f>
        <v>246000</v>
      </c>
      <c r="F23" s="26">
        <f>Interest!E8+Interest!G8</f>
        <v>191400</v>
      </c>
      <c r="G23" s="26">
        <v>0</v>
      </c>
      <c r="H23" s="26">
        <f t="shared" si="1"/>
        <v>1044600</v>
      </c>
      <c r="I23" s="1"/>
    </row>
    <row r="24" spans="1:13">
      <c r="A24" t="s">
        <v>214</v>
      </c>
      <c r="C24" s="1">
        <v>0</v>
      </c>
      <c r="D24" s="1">
        <f>'5 Yr IS Projections'!C23</f>
        <v>272610</v>
      </c>
      <c r="E24" s="1">
        <f>'5 Yr IS Projections'!D23</f>
        <v>284130</v>
      </c>
      <c r="F24" s="1">
        <f>'5 Yr IS Projections'!E23</f>
        <v>295650</v>
      </c>
      <c r="G24" s="1">
        <f>'5 Yr IS Projections'!F23</f>
        <v>315630</v>
      </c>
      <c r="H24" s="1">
        <f>SUM(C24:G24)</f>
        <v>1168020</v>
      </c>
      <c r="I24" s="1"/>
    </row>
    <row r="25" spans="1:13">
      <c r="A25" s="4" t="s">
        <v>23</v>
      </c>
      <c r="B25" s="4"/>
      <c r="C25" s="66">
        <f>SUM(C11:C24)</f>
        <v>10687800</v>
      </c>
      <c r="D25" s="66">
        <f>SUM(D11:D24)</f>
        <v>10259010</v>
      </c>
      <c r="E25" s="66">
        <f t="shared" ref="E25:G25" si="5">SUM(E11:E24)</f>
        <v>10232130</v>
      </c>
      <c r="F25" s="66">
        <f t="shared" si="5"/>
        <v>10189050</v>
      </c>
      <c r="G25" s="66">
        <f t="shared" si="5"/>
        <v>10017630</v>
      </c>
      <c r="H25" s="66">
        <f t="shared" si="1"/>
        <v>51385620</v>
      </c>
      <c r="I25" s="1"/>
    </row>
    <row r="26" spans="1:13">
      <c r="C26" s="1"/>
      <c r="D26" s="1"/>
      <c r="E26" s="1"/>
      <c r="F26" s="1"/>
      <c r="G26" s="1"/>
      <c r="H26" s="1">
        <f t="shared" si="1"/>
        <v>0</v>
      </c>
      <c r="I26" s="1"/>
    </row>
    <row r="27" spans="1:13">
      <c r="A27" s="4" t="s">
        <v>41</v>
      </c>
      <c r="B27" s="4"/>
      <c r="C27" s="1">
        <f>C9-C25</f>
        <v>-1687800</v>
      </c>
      <c r="D27" s="1">
        <f t="shared" ref="D27:G27" si="6">D9-D25</f>
        <v>540990</v>
      </c>
      <c r="E27" s="1">
        <f t="shared" si="6"/>
        <v>567870</v>
      </c>
      <c r="F27" s="1">
        <f t="shared" si="6"/>
        <v>610950</v>
      </c>
      <c r="G27" s="1">
        <f t="shared" si="6"/>
        <v>782370</v>
      </c>
      <c r="H27" s="1">
        <f t="shared" si="1"/>
        <v>814380</v>
      </c>
      <c r="I27" s="1"/>
      <c r="J27" s="13"/>
      <c r="K27" s="13"/>
      <c r="L27" s="13"/>
      <c r="M27" s="13"/>
    </row>
    <row r="28" spans="1:13">
      <c r="A28" t="s">
        <v>25</v>
      </c>
      <c r="C28" s="1">
        <f>'BS 2006-07'!F13</f>
        <v>-999000</v>
      </c>
      <c r="D28" s="1">
        <f>C29</f>
        <v>-2686800</v>
      </c>
      <c r="E28" s="1">
        <f t="shared" ref="E28:G28" si="7">D29</f>
        <v>-2145810</v>
      </c>
      <c r="F28" s="1">
        <f t="shared" si="7"/>
        <v>-1577940</v>
      </c>
      <c r="G28" s="1">
        <f t="shared" si="7"/>
        <v>-966990</v>
      </c>
      <c r="H28" s="1">
        <f>C28</f>
        <v>-999000</v>
      </c>
      <c r="I28" s="1"/>
    </row>
    <row r="29" spans="1:13" ht="15" thickBot="1">
      <c r="A29" s="4" t="s">
        <v>26</v>
      </c>
      <c r="C29" s="120">
        <f>SUM(C27:C28)</f>
        <v>-2686800</v>
      </c>
      <c r="D29" s="120">
        <f t="shared" ref="D29:H29" si="8">SUM(D27:D28)</f>
        <v>-2145810</v>
      </c>
      <c r="E29" s="120">
        <f t="shared" si="8"/>
        <v>-1577940</v>
      </c>
      <c r="F29" s="120">
        <f t="shared" si="8"/>
        <v>-966990</v>
      </c>
      <c r="G29" s="120">
        <f t="shared" si="8"/>
        <v>-184620</v>
      </c>
      <c r="H29" s="120">
        <f t="shared" si="8"/>
        <v>-184620</v>
      </c>
      <c r="I29" s="101"/>
    </row>
    <row r="30" spans="1:13" ht="15" thickTop="1"/>
    <row r="31" spans="1:13" s="99" customFormat="1">
      <c r="A31" s="98" t="s">
        <v>288</v>
      </c>
      <c r="C31" s="101">
        <f>(C28+C29)/2</f>
        <v>-1842900</v>
      </c>
      <c r="D31" s="101">
        <f>C32+(D28+D29)/2</f>
        <v>-2784885</v>
      </c>
      <c r="E31" s="101">
        <f t="shared" ref="E31:G31" si="9">D32+(E28+E29)/2</f>
        <v>-2418852</v>
      </c>
      <c r="F31" s="101">
        <f t="shared" si="9"/>
        <v>-1756235.4</v>
      </c>
      <c r="G31" s="101">
        <f t="shared" si="9"/>
        <v>-927052.08000000007</v>
      </c>
      <c r="H31" s="101"/>
    </row>
    <row r="32" spans="1:13">
      <c r="A32" t="s">
        <v>287</v>
      </c>
      <c r="B32" s="100">
        <v>0.2</v>
      </c>
      <c r="C32" s="101">
        <f>C31*$B$32</f>
        <v>-368580</v>
      </c>
      <c r="D32" s="101">
        <f t="shared" ref="D32:G32" si="10">D31*$B$32</f>
        <v>-556977</v>
      </c>
      <c r="E32" s="101">
        <f t="shared" si="10"/>
        <v>-483770.4</v>
      </c>
      <c r="F32" s="101">
        <f t="shared" si="10"/>
        <v>-351247.08</v>
      </c>
      <c r="G32" s="101">
        <f t="shared" si="10"/>
        <v>-185410.41600000003</v>
      </c>
      <c r="H32" s="101">
        <f>SUM(C32:G32)</f>
        <v>-1945984.8959999999</v>
      </c>
    </row>
  </sheetData>
  <mergeCells count="1">
    <mergeCell ref="C1:H1"/>
  </mergeCells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N25"/>
  <sheetViews>
    <sheetView workbookViewId="0">
      <selection activeCell="D26" sqref="D26"/>
    </sheetView>
  </sheetViews>
  <sheetFormatPr baseColWidth="10" defaultColWidth="8.83203125" defaultRowHeight="14"/>
  <cols>
    <col min="1" max="1" width="28.1640625" customWidth="1"/>
    <col min="2" max="2" width="11.6640625" customWidth="1"/>
    <col min="4" max="4" width="16.33203125" customWidth="1"/>
    <col min="5" max="5" width="13.33203125" customWidth="1"/>
    <col min="6" max="6" width="13" customWidth="1"/>
    <col min="7" max="7" width="3.5" bestFit="1" customWidth="1"/>
    <col min="8" max="8" width="1.33203125" customWidth="1"/>
    <col min="9" max="9" width="1.1640625" customWidth="1"/>
    <col min="10" max="10" width="16.83203125" customWidth="1"/>
    <col min="11" max="11" width="12.1640625" bestFit="1" customWidth="1"/>
    <col min="12" max="12" width="10.6640625" bestFit="1" customWidth="1"/>
    <col min="13" max="14" width="12.33203125" bestFit="1" customWidth="1"/>
  </cols>
  <sheetData>
    <row r="1" spans="1:14">
      <c r="D1" s="45" t="s">
        <v>357</v>
      </c>
      <c r="E1" s="45" t="s">
        <v>358</v>
      </c>
      <c r="F1" s="45" t="s">
        <v>181</v>
      </c>
      <c r="K1" s="45" t="s">
        <v>190</v>
      </c>
      <c r="L1" s="45" t="s">
        <v>342</v>
      </c>
      <c r="M1" s="45" t="s">
        <v>187</v>
      </c>
      <c r="N1" s="45" t="s">
        <v>196</v>
      </c>
    </row>
    <row r="2" spans="1:14">
      <c r="A2" t="s">
        <v>321</v>
      </c>
      <c r="B2" s="45" t="s">
        <v>323</v>
      </c>
      <c r="C2" s="45" t="s">
        <v>186</v>
      </c>
      <c r="D2" s="45" t="s">
        <v>324</v>
      </c>
      <c r="E2" s="45"/>
      <c r="F2" s="45"/>
    </row>
    <row r="3" spans="1:14">
      <c r="A3" t="s">
        <v>15</v>
      </c>
      <c r="B3" s="1">
        <v>5000</v>
      </c>
      <c r="C3" s="1">
        <v>20000</v>
      </c>
      <c r="D3" s="1">
        <f>B3*C3</f>
        <v>100000000</v>
      </c>
      <c r="E3" s="1">
        <f>' Actual'!D3</f>
        <v>180000000</v>
      </c>
      <c r="F3" s="1">
        <f>D3-E3</f>
        <v>-80000000</v>
      </c>
      <c r="G3" s="1" t="s">
        <v>143</v>
      </c>
      <c r="H3" s="1"/>
      <c r="J3" s="4" t="s">
        <v>14</v>
      </c>
      <c r="K3" s="1">
        <f>(B3-B13)*20000</f>
        <v>-100000000</v>
      </c>
      <c r="L3" s="6">
        <f>(C3-C13)*B13</f>
        <v>20000000</v>
      </c>
      <c r="N3" s="6">
        <f>SUM(K3:M3)</f>
        <v>-80000000</v>
      </c>
    </row>
    <row r="4" spans="1:14">
      <c r="A4" t="s">
        <v>326</v>
      </c>
      <c r="B4" s="1">
        <v>400</v>
      </c>
      <c r="C4" s="1">
        <v>200000</v>
      </c>
      <c r="D4" s="1">
        <f t="shared" ref="D4:D7" si="0">B4*C4</f>
        <v>80000000</v>
      </c>
      <c r="E4" s="1">
        <f>' Actual'!D4</f>
        <v>64000000</v>
      </c>
      <c r="F4" s="1">
        <f t="shared" ref="F4:F8" si="1">D4-E4</f>
        <v>16000000</v>
      </c>
      <c r="G4" s="1" t="s">
        <v>144</v>
      </c>
      <c r="H4" s="1"/>
      <c r="I4" s="1"/>
      <c r="J4" s="2" t="s">
        <v>191</v>
      </c>
      <c r="L4" s="6">
        <f>(C14-C4)*B14</f>
        <v>0</v>
      </c>
      <c r="M4" s="6">
        <f>(B4-B14)*C4</f>
        <v>16000000</v>
      </c>
      <c r="N4" s="6">
        <f>SUM(L4:M4)</f>
        <v>16000000</v>
      </c>
    </row>
    <row r="5" spans="1:14">
      <c r="A5" t="s">
        <v>327</v>
      </c>
      <c r="B5" s="1">
        <f>B4*100</f>
        <v>40000</v>
      </c>
      <c r="C5" s="1">
        <v>3000</v>
      </c>
      <c r="D5" s="1">
        <f t="shared" si="0"/>
        <v>120000000</v>
      </c>
      <c r="E5" s="1">
        <f>' Actual'!D5</f>
        <v>119700000</v>
      </c>
      <c r="F5" s="1">
        <f t="shared" si="1"/>
        <v>300000</v>
      </c>
      <c r="G5" s="1" t="s">
        <v>144</v>
      </c>
      <c r="H5" s="1"/>
      <c r="I5" s="1"/>
      <c r="J5" s="2" t="s">
        <v>192</v>
      </c>
      <c r="K5" s="6">
        <f>(B14*100-B15)*C5</f>
        <v>-18000000</v>
      </c>
      <c r="L5" s="6">
        <f>(C5-C15)*B15</f>
        <v>-5700000</v>
      </c>
      <c r="M5" s="6">
        <f>(B4-B14)*100*C5</f>
        <v>24000000</v>
      </c>
      <c r="N5" s="6">
        <f t="shared" ref="N5:N6" si="2">SUM(K5:M5)</f>
        <v>300000</v>
      </c>
    </row>
    <row r="6" spans="1:14">
      <c r="A6" t="s">
        <v>328</v>
      </c>
      <c r="B6" s="1">
        <v>900</v>
      </c>
      <c r="C6" s="1">
        <v>10000</v>
      </c>
      <c r="D6" s="1">
        <f t="shared" si="0"/>
        <v>9000000</v>
      </c>
      <c r="E6" s="1">
        <f>' Actual'!D6</f>
        <v>22500000</v>
      </c>
      <c r="F6" s="1">
        <f t="shared" si="1"/>
        <v>-13500000</v>
      </c>
      <c r="G6" s="1" t="s">
        <v>143</v>
      </c>
      <c r="H6" s="1"/>
      <c r="I6" s="1"/>
      <c r="J6" s="2" t="s">
        <v>193</v>
      </c>
      <c r="K6" s="52"/>
      <c r="L6" s="53">
        <f>(C6-C16)*B16</f>
        <v>-7500000</v>
      </c>
      <c r="M6" s="53">
        <f>(B6-B16)*C6</f>
        <v>-6000000</v>
      </c>
      <c r="N6" s="53">
        <f t="shared" si="2"/>
        <v>-13500000</v>
      </c>
    </row>
    <row r="7" spans="1:14" ht="15" thickBot="1">
      <c r="A7" t="s">
        <v>329</v>
      </c>
      <c r="B7" s="1">
        <v>4</v>
      </c>
      <c r="C7" s="1">
        <v>500000</v>
      </c>
      <c r="D7" s="46">
        <f t="shared" si="0"/>
        <v>2000000</v>
      </c>
      <c r="E7" s="46">
        <f>' Actual'!D7</f>
        <v>2000000</v>
      </c>
      <c r="F7" s="46">
        <f t="shared" si="1"/>
        <v>0</v>
      </c>
      <c r="G7" s="1"/>
      <c r="H7" s="1"/>
      <c r="I7" s="1"/>
      <c r="J7" t="s">
        <v>188</v>
      </c>
      <c r="K7" s="54">
        <f>SUM(K3:K6)</f>
        <v>-118000000</v>
      </c>
      <c r="L7" s="54">
        <f t="shared" ref="L7:M7" si="3">SUM(L3:L6)</f>
        <v>6800000</v>
      </c>
      <c r="M7" s="54">
        <f t="shared" si="3"/>
        <v>34000000</v>
      </c>
      <c r="N7" s="54">
        <f>SUM(N3:N6)</f>
        <v>-77200000</v>
      </c>
    </row>
    <row r="8" spans="1:14" ht="15" thickTop="1">
      <c r="A8" t="s">
        <v>330</v>
      </c>
      <c r="B8" s="1"/>
      <c r="C8" s="1"/>
      <c r="D8" s="1">
        <f>SUM(D3:D7)</f>
        <v>311000000</v>
      </c>
      <c r="E8" s="1">
        <f>SUM(E3:E7)</f>
        <v>388200000</v>
      </c>
      <c r="F8" s="1">
        <f t="shared" si="1"/>
        <v>-77200000</v>
      </c>
      <c r="G8" s="1" t="s">
        <v>145</v>
      </c>
      <c r="H8" s="1"/>
      <c r="I8" s="1"/>
      <c r="J8" t="s">
        <v>353</v>
      </c>
      <c r="N8" s="6">
        <f>D10</f>
        <v>93300000</v>
      </c>
    </row>
    <row r="9" spans="1:14">
      <c r="A9" t="s">
        <v>332</v>
      </c>
      <c r="B9" s="1"/>
      <c r="C9" s="1"/>
      <c r="D9" s="1">
        <v>404300000</v>
      </c>
      <c r="E9" s="1">
        <f>'ZBB Bid'!D11</f>
        <v>404300000</v>
      </c>
      <c r="F9" s="1">
        <f>E9-D9</f>
        <v>0</v>
      </c>
      <c r="G9" s="1"/>
      <c r="H9" s="1"/>
      <c r="I9" s="1"/>
      <c r="J9" t="s">
        <v>189</v>
      </c>
      <c r="N9" s="6">
        <f>SUM(N7:N8)</f>
        <v>16100000</v>
      </c>
    </row>
    <row r="10" spans="1:14" ht="15" thickBot="1">
      <c r="A10" t="s">
        <v>182</v>
      </c>
      <c r="B10" s="1"/>
      <c r="C10" s="1"/>
      <c r="D10" s="47">
        <f>D9-D8</f>
        <v>93300000</v>
      </c>
      <c r="E10" s="47">
        <f>E9-E8</f>
        <v>16100000</v>
      </c>
      <c r="F10" s="47">
        <f>E10-D10</f>
        <v>-77200000</v>
      </c>
      <c r="G10" s="1" t="s">
        <v>143</v>
      </c>
      <c r="H10" s="1"/>
      <c r="I10" s="1"/>
      <c r="N10" s="54">
        <f>N8-N9</f>
        <v>77200000</v>
      </c>
    </row>
    <row r="11" spans="1:14" ht="15" thickTop="1">
      <c r="E11" s="1"/>
      <c r="F11" s="1"/>
      <c r="G11" s="1"/>
      <c r="H11" s="1"/>
      <c r="I11" s="1"/>
    </row>
    <row r="12" spans="1:14" ht="17">
      <c r="E12" s="1"/>
      <c r="F12" s="1"/>
      <c r="G12" s="1"/>
      <c r="H12" s="1"/>
      <c r="I12" s="1"/>
      <c r="J12" s="56" t="s">
        <v>147</v>
      </c>
    </row>
    <row r="13" spans="1:14">
      <c r="A13" t="s">
        <v>15</v>
      </c>
      <c r="B13" s="1">
        <v>10000</v>
      </c>
      <c r="C13" s="1">
        <v>18000</v>
      </c>
      <c r="D13" s="1"/>
      <c r="E13" s="1"/>
      <c r="F13" s="1"/>
      <c r="G13" s="1"/>
      <c r="H13" s="1"/>
      <c r="I13" s="1"/>
      <c r="J13" s="2" t="s">
        <v>194</v>
      </c>
      <c r="K13" s="4"/>
      <c r="L13" s="4"/>
      <c r="N13" s="7">
        <f>M4+M5</f>
        <v>40000000</v>
      </c>
    </row>
    <row r="14" spans="1:14">
      <c r="A14" t="s">
        <v>326</v>
      </c>
      <c r="B14" s="1">
        <v>320</v>
      </c>
      <c r="C14" s="1">
        <v>200000</v>
      </c>
      <c r="D14" s="1"/>
      <c r="J14" s="2" t="s">
        <v>146</v>
      </c>
      <c r="K14" s="4"/>
      <c r="L14" s="4"/>
      <c r="N14" s="7">
        <f>L7</f>
        <v>6800000</v>
      </c>
    </row>
    <row r="15" spans="1:14">
      <c r="A15" t="s">
        <v>327</v>
      </c>
      <c r="B15" s="1">
        <v>38000</v>
      </c>
      <c r="C15" s="1">
        <v>3150</v>
      </c>
      <c r="D15" s="1"/>
      <c r="J15" s="2" t="s">
        <v>195</v>
      </c>
      <c r="K15" s="4"/>
      <c r="L15" s="4"/>
      <c r="N15" s="7">
        <f>K7+M6</f>
        <v>-124000000</v>
      </c>
    </row>
    <row r="16" spans="1:14" ht="15" thickBot="1">
      <c r="A16" t="s">
        <v>328</v>
      </c>
      <c r="B16" s="1">
        <v>1500</v>
      </c>
      <c r="C16" s="1">
        <v>15000</v>
      </c>
      <c r="D16" s="1"/>
      <c r="J16" s="4"/>
      <c r="K16" s="4"/>
      <c r="L16" s="4"/>
      <c r="N16" s="55">
        <f>SUM(N13:N15)</f>
        <v>-77200000</v>
      </c>
    </row>
    <row r="17" spans="1:4" ht="15" thickTop="1">
      <c r="A17" t="s">
        <v>329</v>
      </c>
      <c r="B17" s="1">
        <v>4</v>
      </c>
      <c r="C17" s="1">
        <v>500000</v>
      </c>
      <c r="D17" s="1"/>
    </row>
    <row r="18" spans="1:4">
      <c r="A18" t="s">
        <v>330</v>
      </c>
      <c r="B18" s="1"/>
      <c r="C18" s="1"/>
      <c r="D18" s="1"/>
    </row>
    <row r="19" spans="1:4">
      <c r="A19" t="s">
        <v>337</v>
      </c>
      <c r="B19" s="1"/>
      <c r="C19" s="1"/>
      <c r="D19" s="1"/>
    </row>
    <row r="20" spans="1:4">
      <c r="A20" t="s">
        <v>335</v>
      </c>
      <c r="B20" s="1"/>
      <c r="C20" s="1"/>
      <c r="D20" s="1"/>
    </row>
    <row r="21" spans="1:4">
      <c r="A21" t="s">
        <v>336</v>
      </c>
      <c r="B21" s="1"/>
      <c r="C21" s="1"/>
      <c r="D21" s="1"/>
    </row>
    <row r="22" spans="1:4">
      <c r="A22" t="s">
        <v>332</v>
      </c>
      <c r="B22" s="1"/>
      <c r="C22" s="1"/>
      <c r="D22" s="1"/>
    </row>
    <row r="23" spans="1:4">
      <c r="A23" t="s">
        <v>338</v>
      </c>
      <c r="B23" s="1"/>
      <c r="C23" s="1"/>
      <c r="D23" s="1"/>
    </row>
    <row r="24" spans="1:4">
      <c r="B24" s="1"/>
      <c r="C24" s="1"/>
      <c r="D24" s="1"/>
    </row>
    <row r="25" spans="1:4">
      <c r="A25" t="s">
        <v>185</v>
      </c>
      <c r="B25" s="1"/>
      <c r="C25" s="1"/>
      <c r="D25" s="1"/>
    </row>
  </sheetData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32"/>
  <sheetViews>
    <sheetView topLeftCell="A11" workbookViewId="0">
      <selection activeCell="C29" sqref="C29:H29"/>
    </sheetView>
  </sheetViews>
  <sheetFormatPr baseColWidth="10" defaultColWidth="8.83203125" defaultRowHeight="14"/>
  <cols>
    <col min="1" max="1" width="38.5" customWidth="1"/>
    <col min="2" max="2" width="35.33203125" customWidth="1"/>
    <col min="3" max="3" width="11.83203125" bestFit="1" customWidth="1"/>
    <col min="4" max="4" width="17.6640625" bestFit="1" customWidth="1"/>
    <col min="5" max="5" width="11.5" customWidth="1"/>
    <col min="6" max="6" width="12" customWidth="1"/>
    <col min="7" max="7" width="12.83203125" customWidth="1"/>
    <col min="8" max="8" width="11.5" customWidth="1"/>
    <col min="9" max="9" width="15.33203125" customWidth="1"/>
    <col min="10" max="10" width="10.6640625" customWidth="1"/>
  </cols>
  <sheetData>
    <row r="1" spans="1:13" ht="18">
      <c r="C1" s="126" t="s">
        <v>40</v>
      </c>
      <c r="D1" s="126"/>
      <c r="E1" s="126"/>
      <c r="F1" s="126"/>
      <c r="G1" s="126"/>
      <c r="H1" s="126"/>
    </row>
    <row r="3" spans="1:13">
      <c r="A3" t="s">
        <v>264</v>
      </c>
      <c r="B3" t="s">
        <v>174</v>
      </c>
      <c r="C3" s="105">
        <v>1</v>
      </c>
      <c r="D3" s="105">
        <v>2</v>
      </c>
      <c r="E3" s="105">
        <v>3</v>
      </c>
      <c r="F3" s="105">
        <v>4</v>
      </c>
      <c r="G3" s="105">
        <v>5</v>
      </c>
      <c r="H3" s="105" t="s">
        <v>196</v>
      </c>
      <c r="I3" s="11"/>
      <c r="J3" s="11"/>
      <c r="K3" s="11"/>
      <c r="L3" s="11"/>
    </row>
    <row r="4" spans="1:13" hidden="1">
      <c r="A4" t="s">
        <v>108</v>
      </c>
      <c r="B4">
        <v>0</v>
      </c>
      <c r="C4">
        <v>24</v>
      </c>
      <c r="D4">
        <v>24</v>
      </c>
      <c r="E4">
        <v>24</v>
      </c>
      <c r="F4">
        <v>24</v>
      </c>
      <c r="G4">
        <v>24</v>
      </c>
      <c r="H4">
        <f>SUM(C4:G4)</f>
        <v>120</v>
      </c>
      <c r="I4" s="11"/>
      <c r="J4" s="11"/>
      <c r="K4" s="11"/>
      <c r="L4" s="11"/>
      <c r="M4" s="11"/>
    </row>
    <row r="5" spans="1:13" hidden="1">
      <c r="A5" t="s">
        <v>165</v>
      </c>
      <c r="C5" s="8">
        <v>450000</v>
      </c>
      <c r="D5" s="8">
        <f>C5</f>
        <v>450000</v>
      </c>
      <c r="E5" s="8">
        <f t="shared" ref="E5:G5" si="0">D5</f>
        <v>450000</v>
      </c>
      <c r="F5" s="8">
        <f t="shared" si="0"/>
        <v>450000</v>
      </c>
      <c r="G5" s="8">
        <f t="shared" si="0"/>
        <v>450000</v>
      </c>
      <c r="H5" s="1"/>
      <c r="I5" s="8"/>
      <c r="J5" s="11"/>
      <c r="K5" s="11"/>
      <c r="L5" s="11"/>
    </row>
    <row r="6" spans="1:13">
      <c r="A6" t="s">
        <v>179</v>
      </c>
      <c r="B6" s="19"/>
      <c r="C6" s="79">
        <f>'Year 1 CF Projection (7)'!Q7</f>
        <v>9000000</v>
      </c>
      <c r="D6" s="79">
        <f>'5 Yr IS Projections'!C5*2/12+'5 Yr IS Projections'!D5*10/12</f>
        <v>10800000</v>
      </c>
      <c r="E6" s="79">
        <f>'5 Yr IS Projections'!D5*2/12+'5 Yr IS Projections'!E5*10/12</f>
        <v>10800000</v>
      </c>
      <c r="F6" s="79">
        <f>'5 Yr IS Projections'!E5*2/12+'5 Yr IS Projections'!F5*10/12</f>
        <v>10800000</v>
      </c>
      <c r="G6" s="79">
        <f>'5 Yr IS Projections'!F5*2/12+'5 Yr IS Projections'!G5*10/12</f>
        <v>10800000</v>
      </c>
      <c r="H6" s="66">
        <f t="shared" ref="H6:H27" si="1">SUM(C6:G6)</f>
        <v>52200000</v>
      </c>
      <c r="I6" s="8"/>
      <c r="J6" s="11"/>
      <c r="K6" s="11"/>
      <c r="L6" s="11"/>
    </row>
    <row r="7" spans="1:13">
      <c r="A7" t="s">
        <v>282</v>
      </c>
      <c r="C7" s="8">
        <f>'Year 1 CF Projection (7)'!Q8</f>
        <v>0</v>
      </c>
      <c r="D7" s="1"/>
      <c r="E7" s="1"/>
      <c r="F7" s="1"/>
      <c r="G7" s="1"/>
      <c r="H7" s="1">
        <f t="shared" si="1"/>
        <v>0</v>
      </c>
      <c r="I7" s="1"/>
      <c r="J7" s="15"/>
      <c r="K7" s="15"/>
      <c r="L7" s="15"/>
    </row>
    <row r="8" spans="1:13">
      <c r="A8" t="s">
        <v>180</v>
      </c>
      <c r="C8" s="8">
        <f>'Year 1 CF Projection (7)'!Q9</f>
        <v>0</v>
      </c>
      <c r="D8" s="8"/>
      <c r="E8" s="8"/>
      <c r="F8" s="8"/>
      <c r="G8" s="8"/>
      <c r="H8" s="1">
        <f t="shared" si="1"/>
        <v>0</v>
      </c>
      <c r="I8" s="8"/>
      <c r="J8" s="11"/>
      <c r="K8" s="11"/>
      <c r="L8" s="11"/>
    </row>
    <row r="9" spans="1:13" ht="15" thickBot="1">
      <c r="A9" s="18" t="s">
        <v>21</v>
      </c>
      <c r="B9" s="18"/>
      <c r="C9" s="89">
        <f t="shared" ref="C9:G9" si="2">SUM(C6:C8)</f>
        <v>9000000</v>
      </c>
      <c r="D9" s="89">
        <f t="shared" si="2"/>
        <v>10800000</v>
      </c>
      <c r="E9" s="89">
        <f t="shared" si="2"/>
        <v>10800000</v>
      </c>
      <c r="F9" s="89">
        <f t="shared" si="2"/>
        <v>10800000</v>
      </c>
      <c r="G9" s="89">
        <f t="shared" si="2"/>
        <v>10800000</v>
      </c>
      <c r="H9" s="47">
        <f t="shared" si="1"/>
        <v>52200000</v>
      </c>
      <c r="I9" s="8"/>
      <c r="J9" s="11"/>
      <c r="K9" s="11"/>
      <c r="L9" s="11"/>
    </row>
    <row r="10" spans="1:13" ht="15" thickTop="1">
      <c r="A10" t="s">
        <v>22</v>
      </c>
      <c r="C10" s="8"/>
      <c r="D10" s="8"/>
      <c r="E10" s="8"/>
      <c r="F10" s="8"/>
      <c r="G10" s="8"/>
      <c r="H10" s="1"/>
      <c r="I10" s="8"/>
      <c r="J10" s="11"/>
      <c r="K10" s="11"/>
      <c r="L10" s="11"/>
    </row>
    <row r="11" spans="1:13">
      <c r="A11" t="s">
        <v>33</v>
      </c>
      <c r="C11" s="26">
        <f>'Year 1 CF Projection (7)'!Q12</f>
        <v>0</v>
      </c>
      <c r="D11" s="1"/>
      <c r="E11" s="1"/>
      <c r="F11" s="1"/>
      <c r="G11" s="1"/>
      <c r="H11" s="1">
        <f t="shared" si="1"/>
        <v>0</v>
      </c>
      <c r="I11" s="1"/>
    </row>
    <row r="12" spans="1:13">
      <c r="A12" t="s">
        <v>34</v>
      </c>
      <c r="C12" s="26">
        <f>'Year 1 CF Projection (5)'!Q13</f>
        <v>170000</v>
      </c>
      <c r="D12" s="1"/>
      <c r="E12" s="1"/>
      <c r="F12" s="1"/>
      <c r="G12" s="1"/>
      <c r="H12" s="1">
        <f t="shared" si="1"/>
        <v>170000</v>
      </c>
      <c r="I12" s="1"/>
    </row>
    <row r="13" spans="1:13">
      <c r="A13" t="s">
        <v>100</v>
      </c>
      <c r="C13" s="29">
        <f>'Year 1 CF Projection (7)'!Q14</f>
        <v>90000</v>
      </c>
      <c r="D13" s="1"/>
      <c r="E13" s="1"/>
      <c r="F13" s="1"/>
      <c r="G13" s="1"/>
      <c r="H13" s="1">
        <f t="shared" si="1"/>
        <v>90000</v>
      </c>
      <c r="I13" s="1"/>
    </row>
    <row r="14" spans="1:13">
      <c r="A14" t="s">
        <v>99</v>
      </c>
      <c r="B14" t="s">
        <v>172</v>
      </c>
      <c r="C14" s="29">
        <f>'Year 1 CF Projection (7)'!Q15</f>
        <v>4224000</v>
      </c>
      <c r="D14" s="1">
        <f>C14/11*12</f>
        <v>4608000</v>
      </c>
      <c r="E14" s="1">
        <f t="shared" ref="E14:G14" si="3">D14</f>
        <v>4608000</v>
      </c>
      <c r="F14" s="1">
        <f t="shared" si="3"/>
        <v>4608000</v>
      </c>
      <c r="G14" s="1">
        <f t="shared" si="3"/>
        <v>4608000</v>
      </c>
      <c r="H14" s="1">
        <f t="shared" si="1"/>
        <v>22656000</v>
      </c>
      <c r="I14" s="1"/>
    </row>
    <row r="15" spans="1:13">
      <c r="A15" t="s">
        <v>292</v>
      </c>
      <c r="B15" t="s">
        <v>157</v>
      </c>
      <c r="C15" s="29">
        <f>'Year 1 CF Projection (7)'!Q16</f>
        <v>1440000</v>
      </c>
      <c r="D15" s="1">
        <f t="shared" ref="D15:G22" si="4">C15</f>
        <v>1440000</v>
      </c>
      <c r="E15" s="1">
        <f t="shared" si="4"/>
        <v>1440000</v>
      </c>
      <c r="F15" s="1">
        <f t="shared" si="4"/>
        <v>1440000</v>
      </c>
      <c r="G15" s="1">
        <f t="shared" si="4"/>
        <v>1440000</v>
      </c>
      <c r="H15" s="1">
        <f t="shared" si="1"/>
        <v>7200000</v>
      </c>
      <c r="I15" s="1"/>
    </row>
    <row r="16" spans="1:13">
      <c r="A16" t="s">
        <v>102</v>
      </c>
      <c r="B16" t="s">
        <v>158</v>
      </c>
      <c r="C16" s="29">
        <f>'Year 1 CF Projection (7)'!Q17</f>
        <v>360000</v>
      </c>
      <c r="D16" s="1">
        <f t="shared" si="4"/>
        <v>360000</v>
      </c>
      <c r="E16" s="1">
        <f t="shared" si="4"/>
        <v>360000</v>
      </c>
      <c r="F16" s="1">
        <f t="shared" si="4"/>
        <v>360000</v>
      </c>
      <c r="G16" s="1">
        <f t="shared" si="4"/>
        <v>360000</v>
      </c>
      <c r="H16" s="1">
        <f t="shared" si="1"/>
        <v>1800000</v>
      </c>
      <c r="I16" s="1"/>
    </row>
    <row r="17" spans="1:13">
      <c r="A17" t="s">
        <v>192</v>
      </c>
      <c r="B17" t="s">
        <v>156</v>
      </c>
      <c r="C17" s="29">
        <f>'Year 1 CF Projection (7)'!Q18</f>
        <v>693000</v>
      </c>
      <c r="D17" s="1">
        <f>C17/11*12</f>
        <v>756000</v>
      </c>
      <c r="E17" s="1">
        <f t="shared" si="4"/>
        <v>756000</v>
      </c>
      <c r="F17" s="1">
        <f t="shared" si="4"/>
        <v>756000</v>
      </c>
      <c r="G17" s="1">
        <f t="shared" si="4"/>
        <v>756000</v>
      </c>
      <c r="H17" s="1">
        <f t="shared" si="1"/>
        <v>3717000</v>
      </c>
      <c r="I17" s="1"/>
    </row>
    <row r="18" spans="1:13">
      <c r="A18" t="s">
        <v>200</v>
      </c>
      <c r="B18" t="s">
        <v>164</v>
      </c>
      <c r="C18" s="29">
        <f>'Year 1 CF Projection (7)'!Q19</f>
        <v>2400000</v>
      </c>
      <c r="D18" s="1">
        <f t="shared" si="4"/>
        <v>2400000</v>
      </c>
      <c r="E18" s="1">
        <f t="shared" si="4"/>
        <v>2400000</v>
      </c>
      <c r="F18" s="1">
        <f t="shared" si="4"/>
        <v>2400000</v>
      </c>
      <c r="G18" s="1">
        <f t="shared" si="4"/>
        <v>2400000</v>
      </c>
      <c r="H18" s="1">
        <f t="shared" si="1"/>
        <v>12000000</v>
      </c>
      <c r="I18" s="1"/>
    </row>
    <row r="19" spans="1:13">
      <c r="A19" t="s">
        <v>117</v>
      </c>
      <c r="B19" t="s">
        <v>159</v>
      </c>
      <c r="C19" s="29">
        <f>'Year 1 CF Projection (7)'!Q20</f>
        <v>90000</v>
      </c>
      <c r="D19" s="1">
        <f t="shared" si="4"/>
        <v>90000</v>
      </c>
      <c r="E19" s="1">
        <f t="shared" si="4"/>
        <v>90000</v>
      </c>
      <c r="F19" s="1">
        <f t="shared" si="4"/>
        <v>90000</v>
      </c>
      <c r="G19" s="1">
        <f t="shared" si="4"/>
        <v>90000</v>
      </c>
      <c r="H19" s="1">
        <f t="shared" si="1"/>
        <v>450000</v>
      </c>
      <c r="I19" s="1"/>
    </row>
    <row r="20" spans="1:13">
      <c r="A20" t="s">
        <v>35</v>
      </c>
      <c r="B20" t="s">
        <v>36</v>
      </c>
      <c r="C20" s="29">
        <f>'Year 1 CF Projection (7)'!Q21</f>
        <v>0</v>
      </c>
      <c r="D20" s="1">
        <f t="shared" si="4"/>
        <v>0</v>
      </c>
      <c r="E20" s="1">
        <f t="shared" si="4"/>
        <v>0</v>
      </c>
      <c r="F20" s="1">
        <f t="shared" si="4"/>
        <v>0</v>
      </c>
      <c r="G20" s="1">
        <f t="shared" si="4"/>
        <v>0</v>
      </c>
      <c r="H20" s="1">
        <f t="shared" si="1"/>
        <v>0</v>
      </c>
      <c r="I20" s="1"/>
    </row>
    <row r="21" spans="1:13">
      <c r="A21" t="s">
        <v>168</v>
      </c>
      <c r="B21" t="s">
        <v>170</v>
      </c>
      <c r="C21" s="29">
        <f>'Year 1 CF Projection (7)'!Q22</f>
        <v>0</v>
      </c>
      <c r="D21" s="1">
        <f t="shared" si="4"/>
        <v>0</v>
      </c>
      <c r="E21" s="1">
        <f t="shared" si="4"/>
        <v>0</v>
      </c>
      <c r="F21" s="1">
        <f t="shared" si="4"/>
        <v>0</v>
      </c>
      <c r="G21" s="1">
        <f t="shared" si="4"/>
        <v>0</v>
      </c>
      <c r="H21" s="1">
        <f t="shared" si="1"/>
        <v>0</v>
      </c>
      <c r="I21" s="1"/>
    </row>
    <row r="22" spans="1:13">
      <c r="A22" t="s">
        <v>169</v>
      </c>
      <c r="B22" t="s">
        <v>171</v>
      </c>
      <c r="C22" s="29">
        <f>'Year 1 CF Projection (7)'!Q23</f>
        <v>0</v>
      </c>
      <c r="D22" s="1">
        <f t="shared" si="4"/>
        <v>0</v>
      </c>
      <c r="E22" s="1">
        <f t="shared" si="4"/>
        <v>0</v>
      </c>
      <c r="F22" s="1">
        <f t="shared" si="4"/>
        <v>0</v>
      </c>
      <c r="G22" s="1">
        <f t="shared" si="4"/>
        <v>0</v>
      </c>
      <c r="H22" s="1">
        <f t="shared" si="1"/>
        <v>0</v>
      </c>
      <c r="I22" s="1"/>
    </row>
    <row r="23" spans="1:13">
      <c r="A23" t="s">
        <v>7</v>
      </c>
      <c r="C23" s="26">
        <f>Interest!E5+Interest!G5</f>
        <v>322800</v>
      </c>
      <c r="D23" s="26">
        <f>Interest!E6+Interest!G6</f>
        <v>284400</v>
      </c>
      <c r="E23" s="26">
        <f>Interest!E7+Interest!G7</f>
        <v>246000</v>
      </c>
      <c r="F23" s="26">
        <f>Interest!E8+Interest!G8</f>
        <v>191400</v>
      </c>
      <c r="G23" s="26">
        <v>0</v>
      </c>
      <c r="H23" s="26">
        <f t="shared" si="1"/>
        <v>1044600</v>
      </c>
      <c r="I23" s="1"/>
    </row>
    <row r="24" spans="1:13">
      <c r="A24" t="s">
        <v>214</v>
      </c>
      <c r="C24" s="1">
        <v>0</v>
      </c>
      <c r="D24" s="1">
        <f>'5 Yr IS Projections (5)'!C23</f>
        <v>266009.99760000018</v>
      </c>
      <c r="E24" s="1">
        <f>'5 Yr IS Projections (5)'!D23</f>
        <v>277529.99760000018</v>
      </c>
      <c r="F24" s="1">
        <f>'5 Yr IS Projections (5)'!E23</f>
        <v>289049.99760000018</v>
      </c>
      <c r="G24" s="1">
        <f>'5 Yr IS Projections (5)'!F23</f>
        <v>309029.99760000018</v>
      </c>
      <c r="H24" s="1">
        <f>SUM(C24:G24)</f>
        <v>1141619.9904000007</v>
      </c>
      <c r="I24" s="1"/>
    </row>
    <row r="25" spans="1:13">
      <c r="A25" s="4" t="s">
        <v>23</v>
      </c>
      <c r="B25" s="4"/>
      <c r="C25" s="66">
        <f>SUM(C11:C24)</f>
        <v>9789800</v>
      </c>
      <c r="D25" s="66">
        <f>SUM(D11:D24)</f>
        <v>10204409.9976</v>
      </c>
      <c r="E25" s="66">
        <f t="shared" ref="E25:G25" si="5">SUM(E11:E24)</f>
        <v>10177529.9976</v>
      </c>
      <c r="F25" s="66">
        <f t="shared" si="5"/>
        <v>10134449.9976</v>
      </c>
      <c r="G25" s="66">
        <f t="shared" si="5"/>
        <v>9963029.9976000004</v>
      </c>
      <c r="H25" s="66">
        <f t="shared" si="1"/>
        <v>50269219.990400001</v>
      </c>
      <c r="I25" s="1"/>
    </row>
    <row r="26" spans="1:13">
      <c r="C26" s="1"/>
      <c r="D26" s="1"/>
      <c r="E26" s="1"/>
      <c r="F26" s="1"/>
      <c r="G26" s="1"/>
      <c r="H26" s="1">
        <f t="shared" si="1"/>
        <v>0</v>
      </c>
      <c r="I26" s="1"/>
    </row>
    <row r="27" spans="1:13">
      <c r="A27" s="4" t="s">
        <v>41</v>
      </c>
      <c r="B27" s="4"/>
      <c r="C27" s="1">
        <f>C9-C25</f>
        <v>-789800</v>
      </c>
      <c r="D27" s="1">
        <f t="shared" ref="D27:G27" si="6">D9-D25</f>
        <v>595590.00239999965</v>
      </c>
      <c r="E27" s="1">
        <f t="shared" si="6"/>
        <v>622470.00239999965</v>
      </c>
      <c r="F27" s="1">
        <f t="shared" si="6"/>
        <v>665550.00239999965</v>
      </c>
      <c r="G27" s="1">
        <f t="shared" si="6"/>
        <v>836970.00239999965</v>
      </c>
      <c r="H27" s="1">
        <f t="shared" si="1"/>
        <v>1930780.0095999986</v>
      </c>
      <c r="I27" s="1"/>
      <c r="J27" s="13"/>
      <c r="K27" s="13"/>
      <c r="L27" s="13"/>
      <c r="M27" s="13"/>
    </row>
    <row r="28" spans="1:13">
      <c r="A28" t="s">
        <v>25</v>
      </c>
      <c r="C28" s="1">
        <f>'BS 2006-07'!F13</f>
        <v>-999000</v>
      </c>
      <c r="D28" s="1">
        <f>C29</f>
        <v>-1788800</v>
      </c>
      <c r="E28" s="1">
        <f t="shared" ref="E28:G28" si="7">D29</f>
        <v>-1193209.9976000004</v>
      </c>
      <c r="F28" s="1">
        <f t="shared" si="7"/>
        <v>-570739.9952000007</v>
      </c>
      <c r="G28" s="1">
        <f t="shared" si="7"/>
        <v>94810.007199998945</v>
      </c>
      <c r="H28" s="1">
        <f>C28</f>
        <v>-999000</v>
      </c>
      <c r="I28" s="1"/>
    </row>
    <row r="29" spans="1:13" ht="15" thickBot="1">
      <c r="A29" s="4" t="s">
        <v>26</v>
      </c>
      <c r="C29" s="120">
        <f>SUM(C27:C28)</f>
        <v>-1788800</v>
      </c>
      <c r="D29" s="120">
        <f t="shared" ref="D29:H29" si="8">SUM(D27:D28)</f>
        <v>-1193209.9976000004</v>
      </c>
      <c r="E29" s="120">
        <f t="shared" si="8"/>
        <v>-570739.9952000007</v>
      </c>
      <c r="F29" s="120">
        <f t="shared" si="8"/>
        <v>94810.007199998945</v>
      </c>
      <c r="G29" s="120">
        <f t="shared" si="8"/>
        <v>931780.00959999859</v>
      </c>
      <c r="H29" s="120">
        <f t="shared" si="8"/>
        <v>931780.00959999859</v>
      </c>
      <c r="I29" s="101"/>
    </row>
    <row r="30" spans="1:13" ht="15" thickTop="1"/>
    <row r="31" spans="1:13" s="99" customFormat="1">
      <c r="A31" s="98" t="s">
        <v>288</v>
      </c>
      <c r="C31" s="101">
        <f>(C28+C29)/2</f>
        <v>-1393900</v>
      </c>
      <c r="D31" s="101">
        <f>C32+(D28+D29)/2</f>
        <v>-1769784.9988000002</v>
      </c>
      <c r="E31" s="101">
        <f t="shared" ref="E31:G31" si="9">D32+(E28+E29)/2</f>
        <v>-1235931.9961600006</v>
      </c>
      <c r="F31" s="101">
        <f t="shared" si="9"/>
        <v>-485151.39323200099</v>
      </c>
      <c r="G31" s="101">
        <f t="shared" si="9"/>
        <v>416264.72975359857</v>
      </c>
      <c r="H31" s="101"/>
    </row>
    <row r="32" spans="1:13">
      <c r="A32" t="s">
        <v>287</v>
      </c>
      <c r="B32" s="100">
        <v>0.2</v>
      </c>
      <c r="C32" s="101">
        <f>C31*$B$32</f>
        <v>-278780</v>
      </c>
      <c r="D32" s="101">
        <f t="shared" ref="D32:G32" si="10">D31*$B$32</f>
        <v>-353956.99976000004</v>
      </c>
      <c r="E32" s="101">
        <f t="shared" si="10"/>
        <v>-247186.39923200011</v>
      </c>
      <c r="F32" s="101">
        <f t="shared" si="10"/>
        <v>-97030.278646400198</v>
      </c>
      <c r="G32" s="101">
        <f t="shared" si="10"/>
        <v>83252.945950719717</v>
      </c>
      <c r="H32" s="101">
        <f>SUM(C32:G32)</f>
        <v>-893700.73168768059</v>
      </c>
    </row>
  </sheetData>
  <mergeCells count="1">
    <mergeCell ref="C1:H1"/>
  </mergeCells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30"/>
  <sheetViews>
    <sheetView topLeftCell="A18" workbookViewId="0">
      <selection activeCell="D33" sqref="D33"/>
    </sheetView>
  </sheetViews>
  <sheetFormatPr baseColWidth="10" defaultColWidth="8.83203125" defaultRowHeight="14"/>
  <cols>
    <col min="1" max="1" width="38.5" customWidth="1"/>
    <col min="2" max="2" width="35.33203125" customWidth="1"/>
    <col min="3" max="3" width="11.33203125" customWidth="1"/>
    <col min="4" max="4" width="11.83203125" customWidth="1"/>
    <col min="5" max="5" width="11.5" customWidth="1"/>
    <col min="6" max="6" width="12" customWidth="1"/>
    <col min="7" max="7" width="12.83203125" customWidth="1"/>
    <col min="8" max="8" width="11.5" customWidth="1"/>
    <col min="9" max="9" width="15.33203125" customWidth="1"/>
    <col min="10" max="10" width="10.6640625" customWidth="1"/>
  </cols>
  <sheetData>
    <row r="1" spans="1:13" ht="18">
      <c r="C1" s="126" t="s">
        <v>40</v>
      </c>
      <c r="D1" s="126"/>
      <c r="E1" s="126"/>
      <c r="F1" s="126"/>
      <c r="G1" s="126"/>
      <c r="H1" s="126"/>
    </row>
    <row r="3" spans="1:13">
      <c r="A3" t="s">
        <v>264</v>
      </c>
      <c r="B3" t="s">
        <v>174</v>
      </c>
      <c r="C3" s="45">
        <v>1</v>
      </c>
      <c r="D3" s="45">
        <v>2</v>
      </c>
      <c r="E3" s="45">
        <v>3</v>
      </c>
      <c r="F3" s="45">
        <v>4</v>
      </c>
      <c r="G3" s="45">
        <v>5</v>
      </c>
      <c r="H3" s="45" t="s">
        <v>196</v>
      </c>
      <c r="I3" s="11"/>
      <c r="J3" s="11"/>
      <c r="K3" s="11"/>
      <c r="L3" s="11"/>
    </row>
    <row r="4" spans="1:13" hidden="1">
      <c r="A4" t="s">
        <v>108</v>
      </c>
      <c r="B4">
        <v>0</v>
      </c>
      <c r="C4">
        <v>24</v>
      </c>
      <c r="D4">
        <v>24</v>
      </c>
      <c r="E4">
        <v>24</v>
      </c>
      <c r="F4">
        <v>24</v>
      </c>
      <c r="G4">
        <v>24</v>
      </c>
      <c r="H4">
        <f>SUM(C4:G4)</f>
        <v>120</v>
      </c>
      <c r="I4" s="11"/>
      <c r="J4" s="11"/>
      <c r="K4" s="11"/>
      <c r="L4" s="11"/>
      <c r="M4" s="11"/>
    </row>
    <row r="5" spans="1:13" hidden="1">
      <c r="A5" t="s">
        <v>165</v>
      </c>
      <c r="C5" s="8">
        <v>450000</v>
      </c>
      <c r="D5" s="8">
        <f>C5</f>
        <v>450000</v>
      </c>
      <c r="E5" s="8">
        <f t="shared" ref="E5:G5" si="0">D5</f>
        <v>450000</v>
      </c>
      <c r="F5" s="8">
        <f t="shared" si="0"/>
        <v>450000</v>
      </c>
      <c r="G5" s="8">
        <f t="shared" si="0"/>
        <v>450000</v>
      </c>
      <c r="H5" s="1"/>
      <c r="I5" s="8"/>
      <c r="J5" s="11"/>
      <c r="K5" s="11"/>
      <c r="L5" s="11"/>
    </row>
    <row r="6" spans="1:13">
      <c r="A6" t="s">
        <v>179</v>
      </c>
      <c r="B6" s="19"/>
      <c r="C6" s="79">
        <f>'Year 1 CF Projection (8)'!Q7</f>
        <v>9760500</v>
      </c>
      <c r="D6" s="79">
        <f>'5 Yr IS Projections (8)'!C5*2/12+'5 Yr IS Projections (8)'!D5*10/12</f>
        <v>11712600</v>
      </c>
      <c r="E6" s="79">
        <f>'5 Yr IS Projections (8)'!D5*2/12+'5 Yr IS Projections (8)'!E5*10/12</f>
        <v>11712600</v>
      </c>
      <c r="F6" s="79">
        <f>'5 Yr IS Projections (8)'!E5*2/12+'5 Yr IS Projections (8)'!F5*10/12</f>
        <v>11712600</v>
      </c>
      <c r="G6" s="79">
        <f>'5 Yr IS Projections (8)'!F5*2/12+'5 Yr IS Projections (8)'!G5*10/12</f>
        <v>11712600</v>
      </c>
      <c r="H6" s="66">
        <f t="shared" ref="H6:H27" si="1">SUM(C6:G6)</f>
        <v>56610900</v>
      </c>
      <c r="I6" s="8"/>
      <c r="J6" s="11"/>
      <c r="K6" s="11"/>
      <c r="L6" s="11"/>
    </row>
    <row r="7" spans="1:13">
      <c r="A7" t="s">
        <v>282</v>
      </c>
      <c r="C7" s="106">
        <f>'Year 1 CF Projection (8)'!Q8</f>
        <v>0</v>
      </c>
      <c r="D7" s="1"/>
      <c r="E7" s="1"/>
      <c r="F7" s="1"/>
      <c r="G7" s="1"/>
      <c r="H7" s="1">
        <f t="shared" si="1"/>
        <v>0</v>
      </c>
      <c r="I7" s="1"/>
      <c r="J7" s="15"/>
      <c r="K7" s="15"/>
      <c r="L7" s="15"/>
    </row>
    <row r="8" spans="1:13">
      <c r="A8" t="s">
        <v>180</v>
      </c>
      <c r="C8" s="107">
        <f>'Year 1 CF Projection (8)'!Q9</f>
        <v>0</v>
      </c>
      <c r="D8" s="8"/>
      <c r="E8" s="8"/>
      <c r="F8" s="8"/>
      <c r="G8" s="8"/>
      <c r="H8" s="1">
        <f t="shared" si="1"/>
        <v>0</v>
      </c>
      <c r="I8" s="8"/>
      <c r="J8" s="11"/>
      <c r="K8" s="11"/>
      <c r="L8" s="11"/>
    </row>
    <row r="9" spans="1:13" ht="15" thickBot="1">
      <c r="A9" s="18" t="s">
        <v>21</v>
      </c>
      <c r="B9" s="18"/>
      <c r="C9" s="89">
        <f t="shared" ref="C9:G9" si="2">SUM(C6:C8)</f>
        <v>9760500</v>
      </c>
      <c r="D9" s="89">
        <f t="shared" si="2"/>
        <v>11712600</v>
      </c>
      <c r="E9" s="89">
        <f t="shared" si="2"/>
        <v>11712600</v>
      </c>
      <c r="F9" s="89">
        <f t="shared" si="2"/>
        <v>11712600</v>
      </c>
      <c r="G9" s="89">
        <f t="shared" si="2"/>
        <v>11712600</v>
      </c>
      <c r="H9" s="47">
        <f t="shared" si="1"/>
        <v>56610900</v>
      </c>
      <c r="I9" s="108"/>
      <c r="J9" s="11"/>
      <c r="K9" s="11"/>
      <c r="L9" s="11"/>
    </row>
    <row r="10" spans="1:13" ht="15" thickTop="1">
      <c r="A10" t="s">
        <v>22</v>
      </c>
      <c r="C10" s="8"/>
      <c r="D10" s="8"/>
      <c r="E10" s="8"/>
      <c r="F10" s="8"/>
      <c r="G10" s="8"/>
      <c r="H10" s="1"/>
      <c r="I10" s="8"/>
      <c r="J10" s="11"/>
      <c r="K10" s="11"/>
      <c r="L10" s="11"/>
    </row>
    <row r="11" spans="1:13">
      <c r="A11" t="s">
        <v>33</v>
      </c>
      <c r="C11" s="106">
        <f>'Year 1 CF Projection (8)'!Q12</f>
        <v>0</v>
      </c>
      <c r="D11" s="1"/>
      <c r="E11" s="1"/>
      <c r="F11" s="1"/>
      <c r="G11" s="1"/>
      <c r="H11" s="1">
        <f t="shared" si="1"/>
        <v>0</v>
      </c>
      <c r="I11" s="1"/>
    </row>
    <row r="12" spans="1:13">
      <c r="A12" t="s">
        <v>34</v>
      </c>
      <c r="C12" s="106">
        <f>'Year 1 CF Projection (8)'!Q13</f>
        <v>170000</v>
      </c>
      <c r="D12" s="1"/>
      <c r="E12" s="1"/>
      <c r="F12" s="1"/>
      <c r="G12" s="1"/>
      <c r="H12" s="1">
        <f t="shared" si="1"/>
        <v>170000</v>
      </c>
      <c r="I12" s="1"/>
    </row>
    <row r="13" spans="1:13">
      <c r="A13" t="s">
        <v>100</v>
      </c>
      <c r="C13" s="106">
        <f>'Year 1 CF Projection (8)'!Q14</f>
        <v>90000</v>
      </c>
      <c r="D13" s="1"/>
      <c r="E13" s="1"/>
      <c r="F13" s="1"/>
      <c r="G13" s="1"/>
      <c r="H13" s="1">
        <f t="shared" si="1"/>
        <v>90000</v>
      </c>
      <c r="I13" s="1"/>
    </row>
    <row r="14" spans="1:13">
      <c r="A14" t="s">
        <v>99</v>
      </c>
      <c r="B14" t="s">
        <v>172</v>
      </c>
      <c r="C14" s="106">
        <f>'Year 1 CF Projection (8)'!Q15</f>
        <v>4224000</v>
      </c>
      <c r="D14" s="1">
        <f>C14/11*12</f>
        <v>4608000</v>
      </c>
      <c r="E14" s="1">
        <f t="shared" ref="E14:G14" si="3">D14</f>
        <v>4608000</v>
      </c>
      <c r="F14" s="1">
        <f t="shared" si="3"/>
        <v>4608000</v>
      </c>
      <c r="G14" s="1">
        <f t="shared" si="3"/>
        <v>4608000</v>
      </c>
      <c r="H14" s="1">
        <f t="shared" si="1"/>
        <v>22656000</v>
      </c>
      <c r="I14" s="1"/>
    </row>
    <row r="15" spans="1:13">
      <c r="A15" t="s">
        <v>292</v>
      </c>
      <c r="B15" t="s">
        <v>157</v>
      </c>
      <c r="C15" s="106">
        <f>'Year 1 CF Projection (8)'!Q16</f>
        <v>1440000</v>
      </c>
      <c r="D15" s="1">
        <f t="shared" ref="D15:G22" si="4">C15</f>
        <v>1440000</v>
      </c>
      <c r="E15" s="1">
        <f t="shared" si="4"/>
        <v>1440000</v>
      </c>
      <c r="F15" s="1">
        <f t="shared" si="4"/>
        <v>1440000</v>
      </c>
      <c r="G15" s="1">
        <f t="shared" si="4"/>
        <v>1440000</v>
      </c>
      <c r="H15" s="1">
        <f t="shared" si="1"/>
        <v>7200000</v>
      </c>
      <c r="I15" s="1"/>
    </row>
    <row r="16" spans="1:13">
      <c r="A16" t="s">
        <v>102</v>
      </c>
      <c r="B16" t="s">
        <v>158</v>
      </c>
      <c r="C16" s="106">
        <f>'Year 1 CF Projection (8)'!Q17</f>
        <v>360000</v>
      </c>
      <c r="D16" s="1">
        <f t="shared" si="4"/>
        <v>360000</v>
      </c>
      <c r="E16" s="1">
        <f t="shared" si="4"/>
        <v>360000</v>
      </c>
      <c r="F16" s="1">
        <f t="shared" si="4"/>
        <v>360000</v>
      </c>
      <c r="G16" s="1">
        <f t="shared" si="4"/>
        <v>360000</v>
      </c>
      <c r="H16" s="1">
        <f t="shared" si="1"/>
        <v>1800000</v>
      </c>
      <c r="I16" s="1"/>
    </row>
    <row r="17" spans="1:13">
      <c r="A17" t="s">
        <v>192</v>
      </c>
      <c r="B17" t="s">
        <v>156</v>
      </c>
      <c r="C17" s="106">
        <f>'Year 1 CF Projection (8)'!Q18</f>
        <v>693000</v>
      </c>
      <c r="D17" s="1">
        <f>C17/11*12</f>
        <v>756000</v>
      </c>
      <c r="E17" s="1">
        <f t="shared" si="4"/>
        <v>756000</v>
      </c>
      <c r="F17" s="1">
        <f t="shared" si="4"/>
        <v>756000</v>
      </c>
      <c r="G17" s="1">
        <f t="shared" si="4"/>
        <v>756000</v>
      </c>
      <c r="H17" s="1">
        <f t="shared" si="1"/>
        <v>3717000</v>
      </c>
      <c r="I17" s="1"/>
    </row>
    <row r="18" spans="1:13">
      <c r="A18" t="s">
        <v>200</v>
      </c>
      <c r="B18" t="s">
        <v>164</v>
      </c>
      <c r="C18" s="106">
        <f>'Year 1 CF Projection (8)'!Q19</f>
        <v>2400000</v>
      </c>
      <c r="D18" s="1">
        <f t="shared" si="4"/>
        <v>2400000</v>
      </c>
      <c r="E18" s="1">
        <f t="shared" si="4"/>
        <v>2400000</v>
      </c>
      <c r="F18" s="1">
        <f t="shared" si="4"/>
        <v>2400000</v>
      </c>
      <c r="G18" s="1">
        <f t="shared" si="4"/>
        <v>2400000</v>
      </c>
      <c r="H18" s="1">
        <f t="shared" si="1"/>
        <v>12000000</v>
      </c>
      <c r="I18" s="1"/>
    </row>
    <row r="19" spans="1:13">
      <c r="A19" t="s">
        <v>117</v>
      </c>
      <c r="B19" t="s">
        <v>159</v>
      </c>
      <c r="C19" s="106">
        <f>'Year 1 CF Projection (8)'!Q20</f>
        <v>90000</v>
      </c>
      <c r="D19" s="1">
        <f t="shared" si="4"/>
        <v>90000</v>
      </c>
      <c r="E19" s="1">
        <f t="shared" si="4"/>
        <v>90000</v>
      </c>
      <c r="F19" s="1">
        <f t="shared" si="4"/>
        <v>90000</v>
      </c>
      <c r="G19" s="1">
        <f t="shared" si="4"/>
        <v>90000</v>
      </c>
      <c r="H19" s="1">
        <f t="shared" si="1"/>
        <v>450000</v>
      </c>
      <c r="I19" s="1"/>
    </row>
    <row r="20" spans="1:13">
      <c r="A20" t="s">
        <v>35</v>
      </c>
      <c r="B20" t="s">
        <v>36</v>
      </c>
      <c r="C20" s="106">
        <f>'Year 1 CF Projection (8)'!Q21</f>
        <v>0</v>
      </c>
      <c r="D20" s="1">
        <f t="shared" si="4"/>
        <v>0</v>
      </c>
      <c r="E20" s="1">
        <f t="shared" si="4"/>
        <v>0</v>
      </c>
      <c r="F20" s="1">
        <f t="shared" si="4"/>
        <v>0</v>
      </c>
      <c r="G20" s="1">
        <f t="shared" si="4"/>
        <v>0</v>
      </c>
      <c r="H20" s="1">
        <f t="shared" si="1"/>
        <v>0</v>
      </c>
      <c r="I20" s="1"/>
    </row>
    <row r="21" spans="1:13">
      <c r="A21" t="s">
        <v>168</v>
      </c>
      <c r="B21" t="s">
        <v>170</v>
      </c>
      <c r="C21" s="106">
        <f>'Year 1 CF Projection (8)'!Q22</f>
        <v>0</v>
      </c>
      <c r="D21" s="1">
        <f t="shared" si="4"/>
        <v>0</v>
      </c>
      <c r="E21" s="1">
        <f t="shared" si="4"/>
        <v>0</v>
      </c>
      <c r="F21" s="1">
        <f t="shared" si="4"/>
        <v>0</v>
      </c>
      <c r="G21" s="1">
        <f t="shared" si="4"/>
        <v>0</v>
      </c>
      <c r="H21" s="1">
        <f t="shared" si="1"/>
        <v>0</v>
      </c>
      <c r="I21" s="1"/>
    </row>
    <row r="22" spans="1:13">
      <c r="A22" t="s">
        <v>169</v>
      </c>
      <c r="B22" t="s">
        <v>171</v>
      </c>
      <c r="C22" s="106">
        <f>'Year 1 CF Projection (8)'!Q23</f>
        <v>0</v>
      </c>
      <c r="D22" s="1">
        <f t="shared" si="4"/>
        <v>0</v>
      </c>
      <c r="E22" s="1">
        <f t="shared" si="4"/>
        <v>0</v>
      </c>
      <c r="F22" s="1">
        <f t="shared" si="4"/>
        <v>0</v>
      </c>
      <c r="G22" s="1">
        <f t="shared" si="4"/>
        <v>0</v>
      </c>
      <c r="H22" s="1">
        <f t="shared" si="1"/>
        <v>0</v>
      </c>
      <c r="I22" s="1"/>
    </row>
    <row r="23" spans="1:13">
      <c r="A23" t="s">
        <v>7</v>
      </c>
      <c r="C23" s="26">
        <f>Interest!E5+Interest!G5</f>
        <v>322800</v>
      </c>
      <c r="D23" s="26">
        <f>Interest!E6+Interest!G6</f>
        <v>284400</v>
      </c>
      <c r="E23" s="26">
        <f>Interest!E7+Interest!G7</f>
        <v>246000</v>
      </c>
      <c r="F23" s="26">
        <f>Interest!E8+Interest!G8</f>
        <v>191400</v>
      </c>
      <c r="G23" s="26">
        <v>0</v>
      </c>
      <c r="H23" s="26">
        <f t="shared" si="1"/>
        <v>1044600</v>
      </c>
      <c r="I23" s="1"/>
    </row>
    <row r="24" spans="1:13">
      <c r="A24" t="s">
        <v>214</v>
      </c>
      <c r="C24" s="1">
        <v>0</v>
      </c>
      <c r="D24" s="1">
        <f>'5 Yr IS Projections (8)'!C23</f>
        <v>539789.99760000012</v>
      </c>
      <c r="E24" s="1">
        <f>'5 Yr IS Projections (8)'!D23</f>
        <v>551309.99760000012</v>
      </c>
      <c r="F24" s="1">
        <f>'5 Yr IS Projections (8)'!E23</f>
        <v>562829.99760000012</v>
      </c>
      <c r="G24" s="1">
        <f>'5 Yr IS Projections (8)'!F23</f>
        <v>582809.99760000012</v>
      </c>
      <c r="H24" s="1">
        <f>SUM(C24:G24)</f>
        <v>2236739.9904000005</v>
      </c>
      <c r="I24" s="1"/>
    </row>
    <row r="25" spans="1:13">
      <c r="A25" s="4" t="s">
        <v>23</v>
      </c>
      <c r="B25" s="4"/>
      <c r="C25" s="66">
        <f>SUM(C11:C24)</f>
        <v>9789800</v>
      </c>
      <c r="D25" s="66">
        <f>SUM(D11:D24)</f>
        <v>10478189.9976</v>
      </c>
      <c r="E25" s="66">
        <f t="shared" ref="E25:G25" si="5">SUM(E11:E24)</f>
        <v>10451309.9976</v>
      </c>
      <c r="F25" s="66">
        <f t="shared" si="5"/>
        <v>10408229.9976</v>
      </c>
      <c r="G25" s="66">
        <f t="shared" si="5"/>
        <v>10236809.9976</v>
      </c>
      <c r="H25" s="66">
        <f t="shared" si="1"/>
        <v>51364339.990400001</v>
      </c>
      <c r="I25" s="1"/>
    </row>
    <row r="26" spans="1:13">
      <c r="C26" s="1"/>
      <c r="D26" s="1"/>
      <c r="E26" s="1"/>
      <c r="F26" s="1"/>
      <c r="G26" s="1"/>
      <c r="H26" s="1">
        <f t="shared" si="1"/>
        <v>0</v>
      </c>
      <c r="I26" s="1"/>
    </row>
    <row r="27" spans="1:13">
      <c r="A27" s="4" t="s">
        <v>41</v>
      </c>
      <c r="B27" s="4"/>
      <c r="C27" s="1">
        <f>C9-C25</f>
        <v>-29300</v>
      </c>
      <c r="D27" s="1">
        <f t="shared" ref="D27:G27" si="6">D9-D25</f>
        <v>1234410.0023999996</v>
      </c>
      <c r="E27" s="1">
        <f t="shared" si="6"/>
        <v>1261290.0023999996</v>
      </c>
      <c r="F27" s="1">
        <f t="shared" si="6"/>
        <v>1304370.0023999996</v>
      </c>
      <c r="G27" s="1">
        <f t="shared" si="6"/>
        <v>1475790.0023999996</v>
      </c>
      <c r="H27" s="1">
        <f t="shared" si="1"/>
        <v>5246560.0095999986</v>
      </c>
      <c r="I27" s="1"/>
      <c r="J27" s="13"/>
      <c r="K27" s="13"/>
      <c r="L27" s="13"/>
      <c r="M27" s="13"/>
    </row>
    <row r="28" spans="1:13">
      <c r="A28" t="s">
        <v>25</v>
      </c>
      <c r="C28" s="1">
        <f>'BS 2006-07'!F13</f>
        <v>-999000</v>
      </c>
      <c r="D28" s="1">
        <f>C29</f>
        <v>-1028300</v>
      </c>
      <c r="E28" s="1">
        <f t="shared" ref="E28:G28" si="7">D29</f>
        <v>206110.00239999965</v>
      </c>
      <c r="F28" s="1">
        <f t="shared" si="7"/>
        <v>1467400.0047999993</v>
      </c>
      <c r="G28" s="1">
        <f t="shared" si="7"/>
        <v>2771770.0071999989</v>
      </c>
      <c r="H28" s="1">
        <f>C28</f>
        <v>-999000</v>
      </c>
      <c r="I28" s="1"/>
    </row>
    <row r="29" spans="1:13" ht="15" thickBot="1">
      <c r="A29" s="4" t="s">
        <v>26</v>
      </c>
      <c r="C29" s="121">
        <f>SUM(C27:C28)</f>
        <v>-1028300</v>
      </c>
      <c r="D29" s="121">
        <f t="shared" ref="D29:H29" si="8">SUM(D27:D28)</f>
        <v>206110.00239999965</v>
      </c>
      <c r="E29" s="121">
        <f t="shared" si="8"/>
        <v>1467400.0047999993</v>
      </c>
      <c r="F29" s="121">
        <f t="shared" si="8"/>
        <v>2771770.0071999989</v>
      </c>
      <c r="G29" s="121">
        <f t="shared" si="8"/>
        <v>4247560.0095999986</v>
      </c>
      <c r="H29" s="121">
        <f t="shared" si="8"/>
        <v>4247560.0095999986</v>
      </c>
      <c r="I29" s="6"/>
    </row>
    <row r="30" spans="1:13" ht="15" thickTop="1"/>
  </sheetData>
  <mergeCells count="1">
    <mergeCell ref="C1:H1"/>
  </mergeCells>
  <phoneticPr fontId="10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E19"/>
  <sheetViews>
    <sheetView workbookViewId="0">
      <selection sqref="A1:XFD1048576"/>
    </sheetView>
  </sheetViews>
  <sheetFormatPr baseColWidth="10" defaultColWidth="8.83203125" defaultRowHeight="14"/>
  <cols>
    <col min="1" max="1" width="27.5" customWidth="1"/>
    <col min="2" max="3" width="11.6640625" customWidth="1"/>
    <col min="4" max="4" width="17.5" customWidth="1"/>
  </cols>
  <sheetData>
    <row r="2" spans="1:4">
      <c r="B2" s="122" t="s">
        <v>16</v>
      </c>
      <c r="C2" s="122"/>
      <c r="D2" s="122"/>
    </row>
    <row r="3" spans="1:4">
      <c r="A3" t="s">
        <v>321</v>
      </c>
      <c r="B3" t="s">
        <v>322</v>
      </c>
      <c r="C3" t="s">
        <v>323</v>
      </c>
      <c r="D3" t="s">
        <v>324</v>
      </c>
    </row>
    <row r="4" spans="1:4">
      <c r="A4" t="s">
        <v>325</v>
      </c>
      <c r="B4" s="1">
        <v>5000</v>
      </c>
      <c r="C4" s="1">
        <v>20000</v>
      </c>
      <c r="D4" s="1">
        <f>B4*C4</f>
        <v>100000000</v>
      </c>
    </row>
    <row r="5" spans="1:4">
      <c r="A5" t="s">
        <v>326</v>
      </c>
      <c r="B5" s="1">
        <v>400</v>
      </c>
      <c r="C5" s="1">
        <v>200000</v>
      </c>
      <c r="D5" s="1">
        <f t="shared" ref="D5:D8" si="0">B5*C5</f>
        <v>80000000</v>
      </c>
    </row>
    <row r="6" spans="1:4">
      <c r="A6" t="s">
        <v>327</v>
      </c>
      <c r="B6" s="1">
        <f>B5*100</f>
        <v>40000</v>
      </c>
      <c r="C6" s="1">
        <v>3000</v>
      </c>
      <c r="D6" s="1">
        <f t="shared" si="0"/>
        <v>120000000</v>
      </c>
    </row>
    <row r="7" spans="1:4">
      <c r="A7" t="s">
        <v>328</v>
      </c>
      <c r="B7" s="1">
        <v>900</v>
      </c>
      <c r="C7" s="1">
        <v>10000</v>
      </c>
      <c r="D7" s="1">
        <f t="shared" si="0"/>
        <v>9000000</v>
      </c>
    </row>
    <row r="8" spans="1:4">
      <c r="A8" t="s">
        <v>329</v>
      </c>
      <c r="B8" s="1">
        <v>4</v>
      </c>
      <c r="C8" s="1">
        <v>500000</v>
      </c>
      <c r="D8" s="1">
        <f t="shared" si="0"/>
        <v>2000000</v>
      </c>
    </row>
    <row r="9" spans="1:4">
      <c r="A9" t="s">
        <v>330</v>
      </c>
      <c r="B9" s="1"/>
      <c r="C9" s="1"/>
      <c r="D9" s="1">
        <f>SUM(D4:D8)</f>
        <v>311000000</v>
      </c>
    </row>
    <row r="10" spans="1:4">
      <c r="A10" t="s">
        <v>331</v>
      </c>
      <c r="B10" s="1"/>
      <c r="C10" s="1"/>
      <c r="D10" s="1">
        <f>D9*0.3</f>
        <v>93300000</v>
      </c>
    </row>
    <row r="11" spans="1:4">
      <c r="A11" t="s">
        <v>332</v>
      </c>
      <c r="B11" s="1"/>
      <c r="C11" s="1"/>
      <c r="D11" s="1">
        <f>D9+D10</f>
        <v>404300000</v>
      </c>
    </row>
    <row r="12" spans="1:4">
      <c r="B12" s="1"/>
      <c r="C12" s="1"/>
      <c r="D12" s="1"/>
    </row>
    <row r="14" spans="1:4">
      <c r="A14" s="4" t="s">
        <v>348</v>
      </c>
      <c r="B14" s="4"/>
      <c r="C14" s="4"/>
      <c r="D14" s="4"/>
    </row>
    <row r="15" spans="1:4">
      <c r="A15" s="4" t="s">
        <v>260</v>
      </c>
      <c r="B15" s="2"/>
      <c r="C15" s="2"/>
      <c r="D15" s="2">
        <f>D11*0.02</f>
        <v>8086000</v>
      </c>
    </row>
    <row r="16" spans="1:4">
      <c r="A16" s="4" t="s">
        <v>349</v>
      </c>
      <c r="B16" s="2"/>
      <c r="C16" s="2"/>
      <c r="D16" s="2">
        <f>D10*0.3</f>
        <v>27990000</v>
      </c>
    </row>
    <row r="17" spans="1:5">
      <c r="A17" s="4" t="s">
        <v>338</v>
      </c>
      <c r="B17" s="2"/>
      <c r="C17" s="2"/>
      <c r="D17" s="2">
        <f>D10-D15-D16</f>
        <v>57224000</v>
      </c>
    </row>
    <row r="18" spans="1:5">
      <c r="A18" s="4"/>
      <c r="B18" s="4"/>
      <c r="C18" s="4"/>
      <c r="D18" s="5">
        <f>D17/D10*100</f>
        <v>61.333333333333329</v>
      </c>
      <c r="E18" t="s">
        <v>351</v>
      </c>
    </row>
    <row r="19" spans="1:5">
      <c r="A19" s="4" t="s">
        <v>261</v>
      </c>
      <c r="D19">
        <f>D17/D9*100</f>
        <v>18.399999999999999</v>
      </c>
    </row>
  </sheetData>
  <mergeCells count="1">
    <mergeCell ref="B2:D2"/>
  </mergeCells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L33"/>
  <sheetViews>
    <sheetView workbookViewId="0">
      <selection activeCell="H37" sqref="H37"/>
    </sheetView>
  </sheetViews>
  <sheetFormatPr baseColWidth="10" defaultColWidth="8.83203125" defaultRowHeight="14"/>
  <cols>
    <col min="1" max="1" width="18.83203125" customWidth="1"/>
    <col min="2" max="2" width="11.83203125" customWidth="1"/>
    <col min="3" max="3" width="12.5" customWidth="1"/>
    <col min="4" max="4" width="10.6640625" bestFit="1" customWidth="1"/>
    <col min="5" max="5" width="13.6640625" customWidth="1"/>
    <col min="6" max="7" width="11.5" bestFit="1" customWidth="1"/>
  </cols>
  <sheetData>
    <row r="1" spans="1:12">
      <c r="B1" s="123" t="s">
        <v>259</v>
      </c>
      <c r="C1" s="123"/>
      <c r="D1" s="123"/>
      <c r="E1" s="123"/>
      <c r="F1" s="123"/>
      <c r="G1" s="123"/>
    </row>
    <row r="2" spans="1:12">
      <c r="B2" s="1"/>
      <c r="C2" s="123">
        <v>2006</v>
      </c>
      <c r="D2" s="123"/>
      <c r="E2" s="1"/>
      <c r="F2" s="125">
        <v>2007</v>
      </c>
      <c r="G2" s="125"/>
      <c r="H2" s="1"/>
      <c r="I2" s="1"/>
      <c r="J2" s="1"/>
      <c r="K2" s="1"/>
      <c r="L2" s="1"/>
    </row>
    <row r="3" spans="1:12" ht="17">
      <c r="B3" s="1"/>
      <c r="C3" s="63" t="s">
        <v>267</v>
      </c>
      <c r="D3" s="63" t="s">
        <v>267</v>
      </c>
      <c r="E3" s="63"/>
      <c r="F3" s="63" t="s">
        <v>267</v>
      </c>
      <c r="G3" s="63" t="s">
        <v>267</v>
      </c>
      <c r="H3" s="1"/>
      <c r="I3" s="1"/>
      <c r="J3" s="1"/>
      <c r="K3" s="1"/>
      <c r="L3" s="1"/>
    </row>
    <row r="4" spans="1:12" ht="14.25" customHeight="1">
      <c r="A4" t="s">
        <v>197</v>
      </c>
      <c r="B4" s="1"/>
      <c r="C4" s="1"/>
      <c r="D4" s="1">
        <v>11500000</v>
      </c>
      <c r="E4" s="1"/>
      <c r="F4" s="1"/>
      <c r="G4" s="1">
        <v>14000000</v>
      </c>
      <c r="H4" s="1"/>
      <c r="I4" s="1"/>
      <c r="J4" s="1"/>
      <c r="K4" s="1"/>
      <c r="L4" s="1"/>
    </row>
    <row r="5" spans="1:12">
      <c r="A5" t="s">
        <v>198</v>
      </c>
      <c r="B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t="s">
        <v>199</v>
      </c>
      <c r="B6" s="1"/>
      <c r="C6" s="58">
        <v>5400000</v>
      </c>
      <c r="D6" s="1"/>
      <c r="E6" s="1"/>
      <c r="F6" s="1">
        <v>6800000</v>
      </c>
      <c r="G6" s="1"/>
      <c r="H6" s="1"/>
      <c r="I6" s="1"/>
      <c r="J6" s="1"/>
      <c r="K6" s="1"/>
      <c r="L6" s="1"/>
    </row>
    <row r="7" spans="1:12">
      <c r="A7" t="s">
        <v>193</v>
      </c>
      <c r="B7" s="1"/>
      <c r="C7" s="58">
        <v>2200000</v>
      </c>
      <c r="D7" s="1"/>
      <c r="E7" s="1"/>
      <c r="F7" s="1">
        <v>2800000</v>
      </c>
      <c r="G7" s="1"/>
      <c r="H7" s="1"/>
      <c r="I7" s="1"/>
      <c r="J7" s="1"/>
      <c r="K7" s="1"/>
      <c r="L7" s="1"/>
    </row>
    <row r="8" spans="1:12">
      <c r="A8" t="s">
        <v>200</v>
      </c>
      <c r="B8" s="1"/>
      <c r="C8" s="59">
        <v>1600000</v>
      </c>
      <c r="D8" s="8"/>
      <c r="E8" s="1"/>
      <c r="F8" s="59">
        <v>1900000</v>
      </c>
      <c r="G8" s="1"/>
      <c r="H8" s="1"/>
      <c r="I8" s="1"/>
      <c r="J8" s="1"/>
      <c r="K8" s="1"/>
      <c r="L8" s="1"/>
    </row>
    <row r="9" spans="1:12">
      <c r="B9" s="1"/>
      <c r="C9" s="1"/>
      <c r="D9" s="59">
        <f>SUM(C6:C8)</f>
        <v>9200000</v>
      </c>
      <c r="E9" s="1"/>
      <c r="F9" s="1"/>
      <c r="G9" s="59">
        <f>SUM(F6:F8)</f>
        <v>11500000</v>
      </c>
      <c r="H9" s="1"/>
      <c r="I9" s="1"/>
      <c r="J9" s="1"/>
      <c r="K9" s="1"/>
      <c r="L9" s="1"/>
    </row>
    <row r="10" spans="1:12">
      <c r="A10" t="s">
        <v>201</v>
      </c>
      <c r="B10" s="1"/>
      <c r="C10" s="1"/>
      <c r="D10" s="1">
        <f>D4-D9</f>
        <v>2300000</v>
      </c>
      <c r="E10" s="1"/>
      <c r="F10" s="1"/>
      <c r="G10" s="1">
        <f>G4-G9</f>
        <v>2500000</v>
      </c>
      <c r="H10" s="1"/>
      <c r="I10" s="1"/>
      <c r="J10" s="1"/>
      <c r="K10" s="1"/>
      <c r="L10" s="1"/>
    </row>
    <row r="11" spans="1:12">
      <c r="A11" t="s">
        <v>202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t="s">
        <v>203</v>
      </c>
      <c r="B12" s="1"/>
      <c r="C12" s="1">
        <v>60000</v>
      </c>
      <c r="D12" s="1"/>
      <c r="E12" s="1"/>
      <c r="F12" s="1">
        <v>90000</v>
      </c>
      <c r="G12" s="1"/>
      <c r="H12" s="1"/>
      <c r="I12" s="1"/>
      <c r="J12" s="1"/>
      <c r="K12" s="1"/>
      <c r="L12" s="1"/>
    </row>
    <row r="13" spans="1:12">
      <c r="A13" t="s">
        <v>204</v>
      </c>
      <c r="B13" s="1"/>
      <c r="C13" s="1">
        <v>90000</v>
      </c>
      <c r="D13" s="1"/>
      <c r="E13" s="1"/>
      <c r="F13" s="1">
        <v>105000</v>
      </c>
      <c r="G13" s="1"/>
      <c r="H13" s="1"/>
      <c r="I13" s="1"/>
      <c r="J13" s="1"/>
      <c r="K13" s="1"/>
      <c r="L13" s="1"/>
    </row>
    <row r="14" spans="1:12">
      <c r="A14" t="s">
        <v>205</v>
      </c>
      <c r="B14" s="1"/>
      <c r="C14" s="1">
        <v>120000</v>
      </c>
      <c r="D14" s="1"/>
      <c r="E14" s="1"/>
      <c r="F14" s="1">
        <v>122000</v>
      </c>
      <c r="G14" s="1"/>
      <c r="H14" s="1"/>
      <c r="I14" s="1"/>
      <c r="J14" s="1"/>
      <c r="K14" s="1"/>
      <c r="L14" s="1"/>
    </row>
    <row r="15" spans="1:12">
      <c r="A15" t="s">
        <v>206</v>
      </c>
      <c r="B15" s="1"/>
      <c r="C15" s="1">
        <v>30000</v>
      </c>
      <c r="D15" s="1"/>
      <c r="E15" s="1"/>
      <c r="F15" s="1">
        <v>55000</v>
      </c>
      <c r="G15" s="1"/>
      <c r="H15" s="1"/>
      <c r="I15" s="1"/>
      <c r="J15" s="1"/>
      <c r="K15" s="1"/>
      <c r="L15" s="1"/>
    </row>
    <row r="16" spans="1:12">
      <c r="A16" t="s">
        <v>207</v>
      </c>
      <c r="B16" s="1"/>
      <c r="C16" s="1">
        <v>125000</v>
      </c>
      <c r="D16" s="1"/>
      <c r="E16" s="1"/>
      <c r="F16" s="1">
        <v>130000</v>
      </c>
      <c r="G16" s="1"/>
      <c r="H16" s="1"/>
      <c r="I16" s="1"/>
      <c r="J16" s="1"/>
      <c r="K16" s="1"/>
      <c r="L16" s="1"/>
    </row>
    <row r="17" spans="1:12">
      <c r="A17" t="s">
        <v>265</v>
      </c>
      <c r="B17" s="1"/>
      <c r="C17" s="1">
        <v>234000</v>
      </c>
      <c r="D17" s="1"/>
      <c r="E17" s="1"/>
      <c r="F17" s="1">
        <v>186000</v>
      </c>
      <c r="G17" s="1"/>
      <c r="H17" s="1"/>
      <c r="I17" s="1"/>
      <c r="J17" s="1"/>
      <c r="K17" s="1"/>
      <c r="L17" s="1"/>
    </row>
    <row r="18" spans="1:12">
      <c r="A18" t="s">
        <v>266</v>
      </c>
      <c r="B18" s="1"/>
      <c r="C18" s="59">
        <v>117000</v>
      </c>
      <c r="D18" s="1"/>
      <c r="E18" s="1"/>
      <c r="F18" s="59">
        <v>86000</v>
      </c>
      <c r="G18" s="60"/>
      <c r="H18" s="1"/>
      <c r="I18" s="1"/>
      <c r="J18" s="1"/>
      <c r="K18" s="1"/>
      <c r="L18" s="1"/>
    </row>
    <row r="19" spans="1:12">
      <c r="B19" s="1"/>
      <c r="C19" s="1"/>
      <c r="D19" s="60">
        <f>SUM(C12:C18)</f>
        <v>776000</v>
      </c>
      <c r="E19" s="1"/>
      <c r="F19" s="60"/>
      <c r="G19" s="60">
        <f>SUM(F12:F18)</f>
        <v>774000</v>
      </c>
      <c r="H19" s="1"/>
      <c r="I19" s="1"/>
      <c r="J19" s="1"/>
      <c r="K19" s="1"/>
      <c r="L19" s="1"/>
    </row>
    <row r="20" spans="1:12" ht="15" thickBot="1">
      <c r="A20" t="s">
        <v>338</v>
      </c>
      <c r="B20" s="1"/>
      <c r="C20" s="1"/>
      <c r="D20" s="61">
        <f>D10-D19</f>
        <v>1524000</v>
      </c>
      <c r="E20" s="1"/>
      <c r="F20" s="60"/>
      <c r="G20" s="62">
        <f>G10-G19</f>
        <v>1726000</v>
      </c>
      <c r="H20" s="1"/>
      <c r="I20" s="1"/>
      <c r="J20" s="1"/>
      <c r="K20" s="1"/>
      <c r="L20" s="1"/>
    </row>
    <row r="21" spans="1:12" ht="15" thickTop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3">
    <mergeCell ref="C2:D2"/>
    <mergeCell ref="B1:G1"/>
    <mergeCell ref="F2:G2"/>
  </mergeCells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K36"/>
  <sheetViews>
    <sheetView workbookViewId="0">
      <selection activeCell="I10" sqref="I10:I12"/>
    </sheetView>
  </sheetViews>
  <sheetFormatPr baseColWidth="10" defaultColWidth="8.83203125" defaultRowHeight="14"/>
  <cols>
    <col min="1" max="1" width="18.83203125" customWidth="1"/>
    <col min="3" max="3" width="10.5" bestFit="1" customWidth="1"/>
    <col min="4" max="4" width="13.33203125" bestFit="1" customWidth="1"/>
    <col min="5" max="5" width="11.5" bestFit="1" customWidth="1"/>
    <col min="6" max="6" width="12.5" customWidth="1"/>
    <col min="7" max="7" width="11.6640625" customWidth="1"/>
    <col min="8" max="8" width="10" bestFit="1" customWidth="1"/>
    <col min="9" max="9" width="11.83203125" customWidth="1"/>
  </cols>
  <sheetData>
    <row r="2" spans="1:11">
      <c r="B2" s="123" t="s">
        <v>258</v>
      </c>
      <c r="C2" s="123"/>
      <c r="D2" s="123"/>
      <c r="E2" s="123"/>
      <c r="F2" s="123"/>
      <c r="G2" s="123"/>
      <c r="H2" s="123"/>
      <c r="I2" s="123"/>
    </row>
    <row r="3" spans="1:11">
      <c r="C3" s="123">
        <v>2006</v>
      </c>
      <c r="D3" s="123"/>
      <c r="F3" s="123">
        <v>2007</v>
      </c>
      <c r="G3" s="123"/>
    </row>
    <row r="4" spans="1:11">
      <c r="C4" s="45" t="s">
        <v>267</v>
      </c>
      <c r="D4" s="45" t="s">
        <v>267</v>
      </c>
      <c r="F4" s="45" t="s">
        <v>267</v>
      </c>
      <c r="G4" s="45" t="s">
        <v>267</v>
      </c>
      <c r="I4" s="45" t="s">
        <v>148</v>
      </c>
    </row>
    <row r="5" spans="1:11">
      <c r="A5" s="51" t="s">
        <v>268</v>
      </c>
      <c r="C5" s="1"/>
      <c r="D5" s="1"/>
      <c r="E5" s="1"/>
      <c r="F5" s="1"/>
      <c r="G5" s="1"/>
      <c r="H5" s="1"/>
      <c r="I5" s="1"/>
      <c r="J5" s="1"/>
      <c r="K5" s="1"/>
    </row>
    <row r="6" spans="1:11">
      <c r="A6" t="s">
        <v>269</v>
      </c>
      <c r="C6" s="1"/>
      <c r="D6" s="1">
        <v>0</v>
      </c>
      <c r="E6" s="1"/>
      <c r="G6" s="1">
        <v>1500000</v>
      </c>
      <c r="H6" s="1"/>
      <c r="I6" s="1">
        <f>G6-D6</f>
        <v>1500000</v>
      </c>
      <c r="J6" s="1"/>
      <c r="K6" s="1"/>
    </row>
    <row r="7" spans="1:11">
      <c r="A7" t="s">
        <v>270</v>
      </c>
      <c r="C7" s="60"/>
      <c r="D7" s="60">
        <v>6000000</v>
      </c>
      <c r="E7" s="60"/>
      <c r="F7" s="60"/>
      <c r="G7" s="60">
        <v>5800000</v>
      </c>
      <c r="H7" s="1"/>
      <c r="I7" s="1">
        <f>G7-D7</f>
        <v>-200000</v>
      </c>
      <c r="J7" s="1"/>
      <c r="K7" s="1"/>
    </row>
    <row r="8" spans="1:11">
      <c r="C8" s="60"/>
      <c r="D8" s="64">
        <f>SUM(D6:D7)</f>
        <v>6000000</v>
      </c>
      <c r="E8" s="60"/>
      <c r="F8" s="60"/>
      <c r="G8" s="64">
        <f>SUM(G6:G7)</f>
        <v>7300000</v>
      </c>
      <c r="H8" s="1"/>
      <c r="I8" s="66">
        <f>G8-D8</f>
        <v>1300000</v>
      </c>
      <c r="J8" s="1"/>
      <c r="K8" s="1"/>
    </row>
    <row r="9" spans="1:11">
      <c r="A9" s="51" t="s">
        <v>271</v>
      </c>
      <c r="C9" s="60"/>
      <c r="D9" s="60"/>
      <c r="E9" s="60"/>
      <c r="F9" s="60"/>
      <c r="G9" s="60"/>
      <c r="H9" s="1"/>
      <c r="I9" s="1">
        <f>G9-D9</f>
        <v>0</v>
      </c>
      <c r="J9" s="1"/>
      <c r="K9" s="1"/>
    </row>
    <row r="10" spans="1:11">
      <c r="A10" t="s">
        <v>272</v>
      </c>
      <c r="C10" s="60">
        <v>840000</v>
      </c>
      <c r="D10" s="60"/>
      <c r="E10" s="60"/>
      <c r="F10" s="60">
        <v>1280000</v>
      </c>
      <c r="G10" s="60"/>
      <c r="H10" s="1"/>
      <c r="I10" s="1">
        <f t="shared" ref="I10:I18" si="0">F10-C10</f>
        <v>440000</v>
      </c>
      <c r="J10" s="1"/>
      <c r="K10" s="1"/>
    </row>
    <row r="11" spans="1:11">
      <c r="A11" t="s">
        <v>273</v>
      </c>
      <c r="C11" s="60">
        <v>130000</v>
      </c>
      <c r="D11" s="60"/>
      <c r="E11" s="60"/>
      <c r="F11" s="60">
        <v>250000</v>
      </c>
      <c r="G11" s="60"/>
      <c r="H11" s="1"/>
      <c r="I11" s="1">
        <f t="shared" si="0"/>
        <v>120000</v>
      </c>
      <c r="J11" s="1"/>
      <c r="K11" s="1"/>
    </row>
    <row r="12" spans="1:11">
      <c r="A12" t="s">
        <v>276</v>
      </c>
      <c r="C12" s="60">
        <v>650000</v>
      </c>
      <c r="D12" s="60"/>
      <c r="E12" s="60"/>
      <c r="F12" s="60">
        <v>840000</v>
      </c>
      <c r="G12" s="60"/>
      <c r="H12" s="1"/>
      <c r="I12" s="1">
        <f t="shared" si="0"/>
        <v>190000</v>
      </c>
      <c r="J12" s="1"/>
      <c r="K12" s="1"/>
    </row>
    <row r="13" spans="1:11">
      <c r="A13" t="s">
        <v>274</v>
      </c>
      <c r="C13" s="60">
        <v>35000</v>
      </c>
      <c r="D13" s="60"/>
      <c r="E13" s="60"/>
      <c r="F13" s="60">
        <v>-999000</v>
      </c>
      <c r="G13" s="60"/>
      <c r="H13" s="1"/>
      <c r="I13" s="1">
        <f t="shared" si="0"/>
        <v>-1034000</v>
      </c>
      <c r="J13" s="1"/>
      <c r="K13" s="1"/>
    </row>
    <row r="14" spans="1:11">
      <c r="C14" s="64">
        <f>SUM(C10:C13)</f>
        <v>1655000</v>
      </c>
      <c r="D14" s="60"/>
      <c r="E14" s="60"/>
      <c r="F14" s="64">
        <f>SUM(F10:F13)</f>
        <v>1371000</v>
      </c>
      <c r="G14" s="60"/>
      <c r="H14" s="1"/>
      <c r="I14" s="66">
        <f t="shared" si="0"/>
        <v>-284000</v>
      </c>
      <c r="J14" s="1"/>
      <c r="K14" s="1"/>
    </row>
    <row r="15" spans="1:11">
      <c r="A15" s="51" t="s">
        <v>275</v>
      </c>
      <c r="C15" s="60"/>
      <c r="D15" s="60"/>
      <c r="E15" s="60"/>
      <c r="F15" s="60"/>
      <c r="G15" s="60"/>
      <c r="H15" s="1"/>
      <c r="I15" s="1">
        <f t="shared" si="0"/>
        <v>0</v>
      </c>
      <c r="J15" s="1"/>
      <c r="K15" s="1"/>
    </row>
    <row r="16" spans="1:11">
      <c r="A16" t="s">
        <v>277</v>
      </c>
      <c r="C16" s="60">
        <v>960000</v>
      </c>
      <c r="D16" s="60"/>
      <c r="E16" s="60"/>
      <c r="F16" s="60">
        <v>650000</v>
      </c>
      <c r="G16" s="60"/>
      <c r="H16" s="1"/>
      <c r="I16" s="1">
        <f t="shared" si="0"/>
        <v>-310000</v>
      </c>
      <c r="J16" s="1"/>
      <c r="K16" s="1"/>
    </row>
    <row r="17" spans="1:11">
      <c r="A17" t="s">
        <v>278</v>
      </c>
      <c r="C17" s="60">
        <v>200000</v>
      </c>
      <c r="D17" s="60"/>
      <c r="E17" s="60"/>
      <c r="F17" s="60">
        <v>200000</v>
      </c>
      <c r="G17" s="60"/>
      <c r="H17" s="1"/>
      <c r="I17" s="1">
        <f t="shared" si="0"/>
        <v>0</v>
      </c>
      <c r="J17" s="1"/>
      <c r="K17" s="1"/>
    </row>
    <row r="18" spans="1:11">
      <c r="C18" s="64">
        <f>SUM(C16:C17)</f>
        <v>1160000</v>
      </c>
      <c r="D18" s="60"/>
      <c r="E18" s="60"/>
      <c r="F18" s="64">
        <f>SUM(F16:F17)</f>
        <v>850000</v>
      </c>
      <c r="G18" s="60"/>
      <c r="H18" s="1"/>
      <c r="I18" s="1">
        <f t="shared" si="0"/>
        <v>-310000</v>
      </c>
      <c r="J18" s="1"/>
      <c r="K18" s="1"/>
    </row>
    <row r="19" spans="1:11">
      <c r="A19" t="s">
        <v>279</v>
      </c>
      <c r="C19" s="60"/>
      <c r="D19" s="60">
        <f>C14-C18</f>
        <v>495000</v>
      </c>
      <c r="E19" s="60"/>
      <c r="F19" s="60"/>
      <c r="G19" s="60">
        <f>F14-F18</f>
        <v>521000</v>
      </c>
      <c r="H19" s="1"/>
      <c r="I19" s="1">
        <f t="shared" ref="I19:I26" si="1">G19-D19</f>
        <v>26000</v>
      </c>
      <c r="J19" s="1"/>
      <c r="K19" s="1"/>
    </row>
    <row r="20" spans="1:11" ht="15" thickBot="1">
      <c r="A20" t="s">
        <v>280</v>
      </c>
      <c r="C20" s="60"/>
      <c r="D20" s="62">
        <f>D8+D19</f>
        <v>6495000</v>
      </c>
      <c r="E20" s="60"/>
      <c r="F20" s="60"/>
      <c r="G20" s="62">
        <f>G8+G19</f>
        <v>7821000</v>
      </c>
      <c r="H20" s="1"/>
      <c r="I20" s="47">
        <f t="shared" si="1"/>
        <v>1326000</v>
      </c>
      <c r="J20" s="1"/>
      <c r="K20" s="1"/>
    </row>
    <row r="21" spans="1:11" ht="15" thickTop="1">
      <c r="C21" s="60"/>
      <c r="D21" s="65"/>
      <c r="E21" s="60"/>
      <c r="F21" s="60"/>
      <c r="G21" s="65"/>
      <c r="H21" s="1"/>
      <c r="I21" s="1"/>
      <c r="J21" s="1"/>
      <c r="K21" s="1"/>
    </row>
    <row r="22" spans="1:11">
      <c r="A22" s="51" t="s">
        <v>281</v>
      </c>
      <c r="C22" s="60"/>
      <c r="D22" s="60"/>
      <c r="E22" s="60"/>
      <c r="F22" s="60"/>
      <c r="G22" s="60"/>
      <c r="H22" s="1"/>
      <c r="I22" s="1">
        <f t="shared" si="1"/>
        <v>0</v>
      </c>
      <c r="J22" s="1"/>
      <c r="K22" s="1"/>
    </row>
    <row r="23" spans="1:11">
      <c r="A23" t="s">
        <v>282</v>
      </c>
      <c r="C23" s="60"/>
      <c r="D23" s="60">
        <v>2000000</v>
      </c>
      <c r="E23" s="60"/>
      <c r="F23" s="60"/>
      <c r="G23" s="60">
        <v>2000000</v>
      </c>
      <c r="H23" s="1"/>
      <c r="I23" s="1">
        <f t="shared" si="1"/>
        <v>0</v>
      </c>
      <c r="J23" s="1"/>
      <c r="K23" s="1"/>
    </row>
    <row r="24" spans="1:11">
      <c r="A24" t="s">
        <v>283</v>
      </c>
      <c r="C24" s="60"/>
      <c r="D24" s="60">
        <v>3545000</v>
      </c>
      <c r="E24" s="60"/>
      <c r="F24" s="60"/>
      <c r="G24" s="60">
        <v>5071000</v>
      </c>
      <c r="H24" s="1"/>
      <c r="I24" s="1">
        <f t="shared" si="1"/>
        <v>1526000</v>
      </c>
      <c r="J24" s="1"/>
      <c r="K24" s="1"/>
    </row>
    <row r="25" spans="1:11">
      <c r="A25" t="s">
        <v>284</v>
      </c>
      <c r="C25" s="60"/>
      <c r="D25" s="60">
        <v>950000</v>
      </c>
      <c r="E25" s="60"/>
      <c r="F25" s="60"/>
      <c r="G25" s="60">
        <v>750000</v>
      </c>
      <c r="H25" s="1"/>
      <c r="I25" s="1">
        <f t="shared" si="1"/>
        <v>-200000</v>
      </c>
      <c r="J25" s="1"/>
      <c r="K25" s="1"/>
    </row>
    <row r="26" spans="1:11" ht="15" thickBot="1">
      <c r="C26" s="60"/>
      <c r="D26" s="62">
        <f>SUM(D23:D25)</f>
        <v>6495000</v>
      </c>
      <c r="E26" s="60"/>
      <c r="F26" s="60"/>
      <c r="G26" s="62">
        <f>SUM(G23:G25)</f>
        <v>7821000</v>
      </c>
      <c r="H26" s="1"/>
      <c r="I26" s="47">
        <f t="shared" si="1"/>
        <v>1326000</v>
      </c>
      <c r="J26" s="1"/>
      <c r="K26" s="1"/>
    </row>
    <row r="27" spans="1:11" ht="15" thickTop="1"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C32" s="1"/>
      <c r="D32" s="1"/>
      <c r="E32" s="1"/>
      <c r="F32" s="1"/>
      <c r="G32" s="1"/>
      <c r="H32" s="37"/>
      <c r="I32" s="1"/>
      <c r="J32" s="1"/>
      <c r="K32" s="1"/>
    </row>
    <row r="33" spans="3:11">
      <c r="C33" s="1"/>
      <c r="D33" s="1"/>
      <c r="E33" s="1"/>
      <c r="F33" s="1"/>
      <c r="G33" s="1"/>
      <c r="H33" s="1"/>
      <c r="I33" s="1"/>
      <c r="J33" s="1"/>
      <c r="K33" s="1"/>
    </row>
    <row r="34" spans="3:11">
      <c r="C34" s="1"/>
      <c r="D34" s="1"/>
      <c r="E34" s="1"/>
      <c r="F34" s="1"/>
      <c r="G34" s="1"/>
      <c r="H34" s="1"/>
      <c r="I34" s="1"/>
      <c r="J34" s="1"/>
      <c r="K34" s="1"/>
    </row>
    <row r="35" spans="3:11">
      <c r="C35" s="1"/>
      <c r="D35" s="1"/>
      <c r="E35" s="1"/>
      <c r="F35" s="1"/>
      <c r="G35" s="1"/>
      <c r="H35" s="1"/>
      <c r="I35" s="1"/>
      <c r="J35" s="1"/>
      <c r="K35" s="1"/>
    </row>
    <row r="36" spans="3:11">
      <c r="C36" s="1"/>
      <c r="D36" s="1"/>
      <c r="E36" s="1"/>
      <c r="F36" s="1"/>
      <c r="G36" s="1"/>
      <c r="H36" s="1"/>
      <c r="I36" s="1"/>
      <c r="J36" s="1"/>
      <c r="K36" s="1"/>
    </row>
  </sheetData>
  <mergeCells count="3">
    <mergeCell ref="C3:D3"/>
    <mergeCell ref="F3:G3"/>
    <mergeCell ref="B2:I2"/>
  </mergeCells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J62"/>
  <sheetViews>
    <sheetView topLeftCell="A2" workbookViewId="0">
      <selection activeCell="M38" sqref="M38"/>
    </sheetView>
  </sheetViews>
  <sheetFormatPr baseColWidth="10" defaultColWidth="8.83203125" defaultRowHeight="14"/>
  <cols>
    <col min="1" max="1" width="22.5" customWidth="1"/>
    <col min="2" max="2" width="8" customWidth="1"/>
    <col min="3" max="3" width="13.33203125" bestFit="1" customWidth="1"/>
    <col min="4" max="4" width="10.5" bestFit="1" customWidth="1"/>
    <col min="5" max="5" width="11.83203125" customWidth="1"/>
    <col min="8" max="8" width="11.5" hidden="1" customWidth="1"/>
    <col min="9" max="9" width="11.83203125" hidden="1" customWidth="1"/>
    <col min="10" max="10" width="10.1640625" hidden="1" customWidth="1"/>
  </cols>
  <sheetData>
    <row r="2" spans="1:10">
      <c r="B2" s="123" t="s">
        <v>112</v>
      </c>
      <c r="C2" s="123"/>
      <c r="D2" s="123"/>
      <c r="E2" s="123"/>
      <c r="F2" s="123"/>
      <c r="G2" s="123"/>
    </row>
    <row r="3" spans="1:10">
      <c r="B3" s="123" t="s">
        <v>63</v>
      </c>
      <c r="C3" s="123"/>
      <c r="D3" s="123"/>
      <c r="E3" s="123"/>
      <c r="F3" s="123"/>
      <c r="G3" s="123"/>
    </row>
    <row r="4" spans="1:10">
      <c r="D4" s="45" t="s">
        <v>267</v>
      </c>
      <c r="E4" s="45" t="s">
        <v>267</v>
      </c>
      <c r="H4" t="s">
        <v>254</v>
      </c>
    </row>
    <row r="6" spans="1:10">
      <c r="A6" t="s">
        <v>285</v>
      </c>
      <c r="B6" s="1"/>
      <c r="D6" s="1">
        <f>' P&amp;L 2006-07'!G20</f>
        <v>1726000</v>
      </c>
      <c r="E6" s="1"/>
      <c r="F6" s="1"/>
      <c r="H6" s="1"/>
      <c r="I6" s="1"/>
      <c r="J6" s="1"/>
    </row>
    <row r="7" spans="1:10">
      <c r="A7" t="s">
        <v>286</v>
      </c>
      <c r="B7" s="1"/>
      <c r="D7" s="59">
        <f>-'BS 2006-07'!I7</f>
        <v>200000</v>
      </c>
      <c r="E7" s="1"/>
      <c r="F7" s="1"/>
      <c r="H7" s="1"/>
      <c r="I7" s="1"/>
      <c r="J7" s="1"/>
    </row>
    <row r="8" spans="1:10">
      <c r="B8" s="1"/>
      <c r="D8" s="1"/>
      <c r="E8" s="1">
        <f>D6+D7</f>
        <v>1926000</v>
      </c>
      <c r="F8" s="1"/>
      <c r="H8" s="1">
        <v>35000</v>
      </c>
      <c r="I8" s="1">
        <f>E8+H8</f>
        <v>1961000</v>
      </c>
      <c r="J8" s="1" t="s">
        <v>255</v>
      </c>
    </row>
    <row r="9" spans="1:10">
      <c r="A9" t="s">
        <v>247</v>
      </c>
      <c r="B9" s="1"/>
      <c r="C9" s="1"/>
      <c r="D9" s="60">
        <f>-'BS 2006-07'!I10</f>
        <v>-440000</v>
      </c>
      <c r="F9" s="1"/>
      <c r="H9" s="1"/>
      <c r="I9" s="1"/>
      <c r="J9" s="1"/>
    </row>
    <row r="10" spans="1:10">
      <c r="A10" t="s">
        <v>149</v>
      </c>
      <c r="B10" s="1"/>
      <c r="C10" s="1"/>
      <c r="D10" s="60">
        <f>-'BS 2006-07'!I11</f>
        <v>-120000</v>
      </c>
      <c r="F10" s="1"/>
      <c r="H10" s="1"/>
      <c r="I10" s="1"/>
      <c r="J10" s="1"/>
    </row>
    <row r="11" spans="1:10">
      <c r="A11" t="s">
        <v>249</v>
      </c>
      <c r="B11" s="1"/>
      <c r="C11" s="1"/>
      <c r="D11" s="60">
        <f>-'BS 2006-07'!I12</f>
        <v>-190000</v>
      </c>
      <c r="F11" s="1"/>
      <c r="H11" s="1"/>
      <c r="I11" s="1"/>
      <c r="J11" s="1"/>
    </row>
    <row r="12" spans="1:10">
      <c r="A12" t="s">
        <v>250</v>
      </c>
      <c r="B12" s="1"/>
      <c r="C12" s="1"/>
      <c r="D12" s="59">
        <f>'BS 2006-07'!I16</f>
        <v>-310000</v>
      </c>
      <c r="F12" s="1"/>
      <c r="H12" s="1"/>
      <c r="I12" s="1"/>
      <c r="J12" s="1"/>
    </row>
    <row r="13" spans="1:10">
      <c r="B13" s="1"/>
      <c r="D13" s="1"/>
      <c r="E13" s="1">
        <f>SUM(D9:D12)</f>
        <v>-1060000</v>
      </c>
      <c r="F13" s="1"/>
      <c r="H13" s="1"/>
      <c r="I13" s="1"/>
      <c r="J13" s="1"/>
    </row>
    <row r="14" spans="1:10">
      <c r="A14" t="s">
        <v>240</v>
      </c>
      <c r="B14" s="1"/>
      <c r="D14" s="1"/>
      <c r="E14" s="1">
        <f>SUM(E8:E13)</f>
        <v>866000</v>
      </c>
      <c r="F14" s="1"/>
      <c r="H14" s="1"/>
      <c r="I14" s="1"/>
      <c r="J14" s="1"/>
    </row>
    <row r="15" spans="1:10">
      <c r="B15" s="1"/>
      <c r="D15" s="1"/>
      <c r="E15" s="1"/>
      <c r="F15" s="1"/>
      <c r="H15" s="1"/>
      <c r="I15" s="1"/>
      <c r="J15" s="1"/>
    </row>
    <row r="16" spans="1:10">
      <c r="A16" s="51" t="s">
        <v>151</v>
      </c>
      <c r="B16" s="1"/>
      <c r="D16" s="1"/>
      <c r="E16" s="1"/>
      <c r="F16" s="1"/>
      <c r="H16" s="1"/>
      <c r="I16" s="1"/>
      <c r="J16" s="1"/>
    </row>
    <row r="17" spans="1:10">
      <c r="A17" t="s">
        <v>150</v>
      </c>
      <c r="B17" s="1"/>
      <c r="D17" s="1"/>
      <c r="E17" s="1">
        <f>-'BS 2006-07'!I6</f>
        <v>-1500000</v>
      </c>
      <c r="F17" s="1"/>
      <c r="H17" s="1"/>
      <c r="I17" s="1"/>
      <c r="J17" s="1"/>
    </row>
    <row r="18" spans="1:10">
      <c r="B18" s="1"/>
      <c r="D18" s="1"/>
      <c r="E18" s="1"/>
      <c r="F18" s="1"/>
      <c r="H18" s="1"/>
      <c r="I18" s="1"/>
      <c r="J18" s="1"/>
    </row>
    <row r="19" spans="1:10">
      <c r="A19" s="51" t="s">
        <v>58</v>
      </c>
      <c r="B19" s="1"/>
      <c r="D19" s="1"/>
      <c r="E19" s="1"/>
      <c r="F19" s="1"/>
      <c r="H19" s="1"/>
      <c r="I19" s="1"/>
      <c r="J19" s="1"/>
    </row>
    <row r="20" spans="1:10">
      <c r="A20" t="s">
        <v>245</v>
      </c>
      <c r="B20" s="1"/>
      <c r="D20" s="1"/>
      <c r="E20" s="1">
        <f>'BS 2006-07'!I25</f>
        <v>-200000</v>
      </c>
      <c r="F20" s="1"/>
      <c r="H20" s="1"/>
      <c r="I20" s="1"/>
      <c r="J20" s="1"/>
    </row>
    <row r="21" spans="1:10">
      <c r="B21" s="1"/>
      <c r="D21" s="1"/>
      <c r="E21" s="1"/>
      <c r="F21" s="1"/>
      <c r="H21" s="1"/>
      <c r="I21" s="1"/>
      <c r="J21" s="1"/>
    </row>
    <row r="22" spans="1:10">
      <c r="A22" t="s">
        <v>59</v>
      </c>
      <c r="B22" s="1"/>
      <c r="D22" s="1"/>
      <c r="E22" s="1"/>
      <c r="F22" s="1"/>
      <c r="H22" s="1"/>
      <c r="I22" s="1"/>
      <c r="J22" s="1"/>
    </row>
    <row r="23" spans="1:10">
      <c r="A23" t="s">
        <v>60</v>
      </c>
      <c r="B23" s="1"/>
      <c r="D23" s="1"/>
      <c r="E23" s="1">
        <f>-(' P&amp;L 2006-07'!G20-'BS 2006-07'!I24)</f>
        <v>-200000</v>
      </c>
      <c r="F23" s="1"/>
      <c r="H23" s="1"/>
      <c r="I23" s="1"/>
      <c r="J23" s="1"/>
    </row>
    <row r="24" spans="1:10">
      <c r="B24" s="1"/>
      <c r="D24" s="1"/>
      <c r="E24" s="1"/>
      <c r="F24" s="1"/>
      <c r="H24" s="1"/>
      <c r="I24" s="1"/>
      <c r="J24" s="1"/>
    </row>
    <row r="25" spans="1:10" ht="15" thickBot="1">
      <c r="A25" t="s">
        <v>61</v>
      </c>
      <c r="B25" s="1"/>
      <c r="D25" s="1"/>
      <c r="E25" s="47">
        <f>SUM(E14:E24)</f>
        <v>-1034000</v>
      </c>
      <c r="F25" s="1"/>
      <c r="H25" s="1"/>
      <c r="I25" s="1"/>
      <c r="J25" s="1"/>
    </row>
    <row r="26" spans="1:10" ht="15" thickTop="1">
      <c r="B26" s="1"/>
      <c r="D26" s="1"/>
      <c r="E26" s="1"/>
      <c r="F26" s="1"/>
      <c r="H26" s="1"/>
      <c r="I26" s="1"/>
      <c r="J26" s="1"/>
    </row>
    <row r="27" spans="1:10">
      <c r="A27" t="s">
        <v>252</v>
      </c>
      <c r="B27" s="1"/>
      <c r="D27" s="1"/>
      <c r="E27" s="1">
        <f>'BS 2006-07'!C13</f>
        <v>35000</v>
      </c>
      <c r="F27" s="1"/>
      <c r="H27" s="1"/>
      <c r="I27" s="1"/>
      <c r="J27" s="1"/>
    </row>
    <row r="28" spans="1:10">
      <c r="A28" t="s">
        <v>253</v>
      </c>
      <c r="B28" s="1"/>
      <c r="D28" s="1"/>
      <c r="E28" s="1">
        <f>'BS 2006-07'!F13</f>
        <v>-999000</v>
      </c>
      <c r="F28" s="1"/>
      <c r="H28" s="1"/>
      <c r="I28" s="1"/>
      <c r="J28" s="1"/>
    </row>
    <row r="29" spans="1:10" ht="15" thickBot="1">
      <c r="A29" t="s">
        <v>62</v>
      </c>
      <c r="B29" s="1"/>
      <c r="D29" s="1"/>
      <c r="E29" s="47">
        <f>-E27+E28</f>
        <v>-1034000</v>
      </c>
      <c r="F29" s="1"/>
      <c r="H29" s="1"/>
      <c r="I29" s="1"/>
      <c r="J29" s="1"/>
    </row>
    <row r="30" spans="1:10" ht="15" thickTop="1">
      <c r="B30" s="1"/>
      <c r="D30" s="1"/>
      <c r="E30" s="1"/>
      <c r="F30" s="1"/>
      <c r="H30" s="1"/>
      <c r="I30" s="1"/>
      <c r="J30" s="1"/>
    </row>
    <row r="31" spans="1:10">
      <c r="B31" s="1"/>
      <c r="D31" s="1"/>
      <c r="E31" s="1"/>
      <c r="F31" s="1"/>
      <c r="H31" s="1"/>
      <c r="I31" s="1"/>
      <c r="J31" s="1"/>
    </row>
    <row r="32" spans="1:10">
      <c r="B32" s="1"/>
      <c r="D32" s="1"/>
      <c r="E32" s="1"/>
      <c r="F32" s="1"/>
      <c r="H32" s="1"/>
      <c r="I32" s="1"/>
      <c r="J32" s="1"/>
    </row>
    <row r="33" spans="1:10">
      <c r="B33" s="1"/>
      <c r="D33" s="1"/>
      <c r="E33" s="1"/>
      <c r="F33" s="1"/>
      <c r="H33" s="1"/>
      <c r="I33" s="1"/>
      <c r="J33" s="1"/>
    </row>
    <row r="34" spans="1:10">
      <c r="B34" s="1"/>
      <c r="D34" s="1"/>
      <c r="E34" s="1"/>
      <c r="F34" s="1"/>
      <c r="H34" s="1"/>
      <c r="I34" s="1"/>
      <c r="J34" s="1"/>
    </row>
    <row r="35" spans="1:10">
      <c r="B35" s="1"/>
      <c r="D35" s="1"/>
      <c r="E35" s="1"/>
      <c r="F35" s="1"/>
      <c r="H35" s="1"/>
      <c r="I35" s="1"/>
      <c r="J35" s="1"/>
    </row>
    <row r="36" spans="1:10">
      <c r="B36" s="1"/>
      <c r="D36" s="1"/>
      <c r="E36" s="1"/>
      <c r="F36" s="1"/>
      <c r="H36" s="1"/>
      <c r="I36" s="1"/>
      <c r="J36" s="1"/>
    </row>
    <row r="37" spans="1:10">
      <c r="B37" s="1"/>
      <c r="D37" s="1"/>
      <c r="E37" s="1"/>
      <c r="F37" s="1"/>
      <c r="H37" s="1"/>
      <c r="I37" s="1"/>
      <c r="J37" s="1"/>
    </row>
    <row r="38" spans="1:10">
      <c r="B38" s="1"/>
      <c r="D38" s="1"/>
      <c r="E38" s="1"/>
      <c r="F38" s="1"/>
      <c r="H38" s="1"/>
      <c r="I38" s="1"/>
      <c r="J38" s="1"/>
    </row>
    <row r="39" spans="1:10" hidden="1">
      <c r="A39" t="s">
        <v>243</v>
      </c>
      <c r="B39" s="1"/>
      <c r="C39" s="1"/>
      <c r="D39" s="1"/>
      <c r="E39" s="1"/>
      <c r="F39" s="1"/>
      <c r="H39" s="1"/>
      <c r="I39" s="1"/>
      <c r="J39" s="1"/>
    </row>
    <row r="40" spans="1:10" hidden="1">
      <c r="A40" t="s">
        <v>242</v>
      </c>
      <c r="B40" s="1"/>
      <c r="C40" s="1"/>
      <c r="D40" s="1">
        <v>200000</v>
      </c>
      <c r="E40" s="1"/>
      <c r="F40" s="1"/>
      <c r="H40" s="1"/>
      <c r="I40" s="1">
        <f>-D40</f>
        <v>-200000</v>
      </c>
      <c r="J40" s="1"/>
    </row>
    <row r="41" spans="1:10" hidden="1">
      <c r="A41" t="s">
        <v>241</v>
      </c>
      <c r="B41" s="1"/>
      <c r="C41" s="1"/>
      <c r="D41" s="1">
        <v>0</v>
      </c>
      <c r="E41" s="1"/>
      <c r="F41" s="1"/>
      <c r="H41" s="1"/>
      <c r="I41" s="1">
        <f>-D41</f>
        <v>0</v>
      </c>
      <c r="J41" s="1"/>
    </row>
    <row r="42" spans="1:10" hidden="1">
      <c r="A42" t="s">
        <v>244</v>
      </c>
      <c r="B42" s="1"/>
      <c r="C42" s="1"/>
      <c r="D42" s="1">
        <v>1500000</v>
      </c>
      <c r="E42" s="1"/>
      <c r="F42" s="1"/>
      <c r="H42" s="1"/>
      <c r="I42" s="1">
        <f>-D42</f>
        <v>-1500000</v>
      </c>
      <c r="J42" s="1"/>
    </row>
    <row r="43" spans="1:10" hidden="1">
      <c r="A43" t="s">
        <v>245</v>
      </c>
      <c r="B43" s="1"/>
      <c r="C43" s="1"/>
      <c r="D43" s="59">
        <v>200000</v>
      </c>
      <c r="E43" s="1"/>
      <c r="F43" s="1"/>
      <c r="H43" s="1"/>
      <c r="I43" s="1">
        <f>-D43</f>
        <v>-200000</v>
      </c>
      <c r="J43" s="1"/>
    </row>
    <row r="44" spans="1:10" hidden="1">
      <c r="B44" s="1"/>
      <c r="C44" s="1"/>
      <c r="D44" s="1"/>
      <c r="E44" s="60">
        <f>SUM(D40:D43)</f>
        <v>1900000</v>
      </c>
      <c r="F44" s="1"/>
      <c r="H44" s="1"/>
      <c r="I44" s="1"/>
      <c r="J44" s="1"/>
    </row>
    <row r="45" spans="1:10" hidden="1">
      <c r="A45" t="s">
        <v>246</v>
      </c>
      <c r="B45" s="1"/>
      <c r="C45" s="1"/>
      <c r="D45" s="1"/>
      <c r="E45" s="60">
        <f>E8-E44</f>
        <v>26000</v>
      </c>
      <c r="F45" s="1"/>
      <c r="H45" s="1"/>
      <c r="I45" s="1"/>
      <c r="J45" s="1"/>
    </row>
    <row r="46" spans="1:10" hidden="1">
      <c r="A46" t="s">
        <v>247</v>
      </c>
      <c r="B46" s="1"/>
      <c r="C46" s="1"/>
      <c r="E46" s="60">
        <v>-440000</v>
      </c>
      <c r="F46" s="1"/>
      <c r="H46" s="1"/>
      <c r="I46" s="1">
        <f>E46</f>
        <v>-440000</v>
      </c>
      <c r="J46" s="1"/>
    </row>
    <row r="47" spans="1:10" hidden="1">
      <c r="A47" t="s">
        <v>248</v>
      </c>
      <c r="B47" s="1"/>
      <c r="C47" s="1"/>
      <c r="E47" s="60">
        <v>-120000</v>
      </c>
      <c r="F47" s="1"/>
      <c r="H47" s="1"/>
      <c r="I47" s="1">
        <f>E47</f>
        <v>-120000</v>
      </c>
      <c r="J47" s="1"/>
    </row>
    <row r="48" spans="1:10" hidden="1">
      <c r="A48" t="s">
        <v>249</v>
      </c>
      <c r="B48" s="1"/>
      <c r="C48" s="1"/>
      <c r="E48" s="60">
        <v>-190000</v>
      </c>
      <c r="F48" s="1"/>
      <c r="H48" s="1"/>
      <c r="I48" s="1">
        <f>E48</f>
        <v>-190000</v>
      </c>
      <c r="J48" s="1"/>
    </row>
    <row r="49" spans="1:10" hidden="1">
      <c r="A49" t="s">
        <v>250</v>
      </c>
      <c r="B49" s="1"/>
      <c r="C49" s="1"/>
      <c r="E49" s="60">
        <v>-310000</v>
      </c>
      <c r="F49" s="1"/>
      <c r="H49" s="1"/>
      <c r="I49" s="1">
        <f>E49</f>
        <v>-310000</v>
      </c>
      <c r="J49" s="1"/>
    </row>
    <row r="50" spans="1:10" hidden="1">
      <c r="A50" t="s">
        <v>251</v>
      </c>
      <c r="B50" s="1"/>
      <c r="C50" s="1"/>
      <c r="D50" s="1"/>
      <c r="E50" s="60">
        <f>SUM(E45:E49)</f>
        <v>-1034000</v>
      </c>
      <c r="F50" s="1"/>
      <c r="H50" s="1"/>
      <c r="I50" s="1">
        <f>SUM(I40:I49)</f>
        <v>-2960000</v>
      </c>
      <c r="J50" s="1" t="s">
        <v>256</v>
      </c>
    </row>
    <row r="51" spans="1:10" hidden="1">
      <c r="A51" t="s">
        <v>252</v>
      </c>
      <c r="B51" s="1"/>
      <c r="C51" s="1"/>
      <c r="D51" s="1"/>
      <c r="E51" s="60">
        <v>35000</v>
      </c>
      <c r="F51" s="1"/>
      <c r="H51" s="1"/>
      <c r="I51" s="1"/>
      <c r="J51" s="1"/>
    </row>
    <row r="52" spans="1:10" hidden="1">
      <c r="A52" t="s">
        <v>253</v>
      </c>
      <c r="B52" s="1"/>
      <c r="C52" s="1"/>
      <c r="D52" s="1"/>
      <c r="E52" s="59">
        <f>E50+E51</f>
        <v>-999000</v>
      </c>
      <c r="F52" s="1"/>
      <c r="H52" s="1"/>
      <c r="I52" s="1">
        <f>I8+I50</f>
        <v>-999000</v>
      </c>
      <c r="J52" s="1" t="s">
        <v>257</v>
      </c>
    </row>
    <row r="53" spans="1:10" hidden="1">
      <c r="B53" s="1"/>
      <c r="C53" s="1"/>
      <c r="D53" s="1"/>
      <c r="E53" s="1"/>
      <c r="F53" s="1"/>
      <c r="G53" s="1"/>
      <c r="H53" s="1"/>
      <c r="I53" s="1"/>
      <c r="J53" s="1"/>
    </row>
    <row r="54" spans="1:10" hidden="1">
      <c r="B54" s="1"/>
      <c r="C54" s="1"/>
      <c r="D54" s="1"/>
      <c r="E54" s="1"/>
      <c r="F54" s="1"/>
      <c r="G54" s="1"/>
      <c r="H54" s="1"/>
      <c r="I54" s="1"/>
      <c r="J54" s="1"/>
    </row>
    <row r="55" spans="1:10" hidden="1"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B62" s="1"/>
      <c r="C62" s="1"/>
      <c r="D62" s="1"/>
      <c r="E62" s="1"/>
      <c r="F62" s="1"/>
      <c r="G62" s="1"/>
      <c r="H62" s="1"/>
      <c r="I62" s="1"/>
      <c r="J62" s="1"/>
    </row>
  </sheetData>
  <mergeCells count="2">
    <mergeCell ref="B2:G2"/>
    <mergeCell ref="B3:G3"/>
  </mergeCells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J18"/>
  <sheetViews>
    <sheetView workbookViewId="0">
      <selection activeCell="L23" sqref="L23"/>
    </sheetView>
  </sheetViews>
  <sheetFormatPr baseColWidth="10" defaultColWidth="8.83203125" defaultRowHeight="14"/>
  <cols>
    <col min="1" max="1" width="13" bestFit="1" customWidth="1"/>
    <col min="2" max="2" width="13.5" customWidth="1"/>
    <col min="3" max="3" width="11.83203125" customWidth="1"/>
    <col min="4" max="4" width="12.1640625" customWidth="1"/>
    <col min="5" max="5" width="12.5" customWidth="1"/>
    <col min="8" max="8" width="11.83203125" hidden="1" customWidth="1"/>
    <col min="9" max="9" width="0" hidden="1" customWidth="1"/>
    <col min="10" max="10" width="12.33203125" hidden="1" customWidth="1"/>
  </cols>
  <sheetData>
    <row r="1" spans="1:10">
      <c r="B1" s="123" t="s">
        <v>263</v>
      </c>
      <c r="C1" s="123"/>
      <c r="D1" s="123"/>
      <c r="E1" s="123"/>
    </row>
    <row r="2" spans="1:10">
      <c r="A2" t="s">
        <v>262</v>
      </c>
      <c r="B2" s="45" t="s">
        <v>89</v>
      </c>
      <c r="C2" s="45" t="s">
        <v>90</v>
      </c>
      <c r="D2" s="45" t="s">
        <v>91</v>
      </c>
      <c r="E2" s="45" t="s">
        <v>92</v>
      </c>
    </row>
    <row r="3" spans="1:10">
      <c r="A3" t="s">
        <v>264</v>
      </c>
      <c r="B3" s="123" t="s">
        <v>93</v>
      </c>
      <c r="C3" s="123"/>
      <c r="D3" s="123"/>
      <c r="E3" s="123"/>
      <c r="H3" t="s">
        <v>121</v>
      </c>
      <c r="I3">
        <v>1.214</v>
      </c>
    </row>
    <row r="4" spans="1:10">
      <c r="A4">
        <v>0</v>
      </c>
      <c r="B4" s="1">
        <v>-150000</v>
      </c>
      <c r="C4" s="1">
        <v>-150000</v>
      </c>
      <c r="D4" s="1">
        <v>-200000</v>
      </c>
      <c r="E4" s="1">
        <v>-170000</v>
      </c>
      <c r="F4" s="1"/>
      <c r="G4" s="1"/>
      <c r="H4" s="1">
        <v>-170000</v>
      </c>
      <c r="I4" s="41">
        <v>1</v>
      </c>
      <c r="J4" s="1">
        <f>H4*I4</f>
        <v>-170000</v>
      </c>
    </row>
    <row r="5" spans="1:10">
      <c r="A5">
        <v>1</v>
      </c>
      <c r="B5" s="1">
        <v>-20000</v>
      </c>
      <c r="C5" s="1">
        <v>90000</v>
      </c>
      <c r="D5" s="1">
        <v>55000</v>
      </c>
      <c r="E5" s="1">
        <v>29000</v>
      </c>
      <c r="F5" s="1"/>
      <c r="G5" s="1"/>
      <c r="H5" s="1">
        <v>29000</v>
      </c>
      <c r="I5" s="41">
        <f>1/I3</f>
        <v>0.82372322899505768</v>
      </c>
      <c r="J5" s="1">
        <f t="shared" ref="J5:J10" si="0">H5*I5</f>
        <v>23887.973640856671</v>
      </c>
    </row>
    <row r="6" spans="1:10">
      <c r="A6">
        <v>2</v>
      </c>
      <c r="B6" s="1">
        <v>90000</v>
      </c>
      <c r="C6" s="1">
        <v>55000</v>
      </c>
      <c r="D6" s="1">
        <v>57000</v>
      </c>
      <c r="E6" s="1">
        <v>32000</v>
      </c>
      <c r="F6" s="1"/>
      <c r="G6" s="1"/>
      <c r="H6" s="1">
        <v>32000</v>
      </c>
      <c r="I6" s="41">
        <f>I5/I3</f>
        <v>0.67851995798604425</v>
      </c>
      <c r="J6" s="1">
        <f t="shared" si="0"/>
        <v>21712.638655553415</v>
      </c>
    </row>
    <row r="7" spans="1:10">
      <c r="A7">
        <v>3</v>
      </c>
      <c r="B7" s="1">
        <v>72000</v>
      </c>
      <c r="C7" s="1">
        <v>70000</v>
      </c>
      <c r="D7" s="1">
        <v>68000</v>
      </c>
      <c r="E7" s="1">
        <v>45000</v>
      </c>
      <c r="F7" s="1"/>
      <c r="G7" s="1"/>
      <c r="H7" s="1">
        <v>45000</v>
      </c>
      <c r="I7" s="41">
        <f>I6/I3</f>
        <v>0.5589126507298553</v>
      </c>
      <c r="J7" s="1">
        <f t="shared" si="0"/>
        <v>25151.069282843488</v>
      </c>
    </row>
    <row r="8" spans="1:10">
      <c r="A8">
        <v>4</v>
      </c>
      <c r="B8" s="1">
        <v>60000</v>
      </c>
      <c r="C8" s="1">
        <v>68000</v>
      </c>
      <c r="D8" s="1">
        <v>71000</v>
      </c>
      <c r="E8" s="1">
        <v>69000</v>
      </c>
      <c r="F8" s="1"/>
      <c r="G8" s="1"/>
      <c r="H8" s="1">
        <v>69000</v>
      </c>
      <c r="I8" s="41">
        <f>I7/I3</f>
        <v>0.46038933338538329</v>
      </c>
      <c r="J8" s="1">
        <f t="shared" si="0"/>
        <v>31766.864003591447</v>
      </c>
    </row>
    <row r="9" spans="1:10">
      <c r="A9">
        <v>5</v>
      </c>
      <c r="B9" s="1">
        <v>78000</v>
      </c>
      <c r="C9" s="1">
        <v>30000</v>
      </c>
      <c r="D9" s="1">
        <v>73000</v>
      </c>
      <c r="E9" s="1">
        <v>98000</v>
      </c>
      <c r="F9" s="1"/>
      <c r="G9" s="1"/>
      <c r="H9" s="1">
        <v>98000</v>
      </c>
      <c r="I9" s="41">
        <f>I8/I3</f>
        <v>0.37923338829109005</v>
      </c>
      <c r="J9" s="1">
        <f>H9*I9</f>
        <v>37164.872052526822</v>
      </c>
    </row>
    <row r="10" spans="1:10">
      <c r="A10">
        <v>6</v>
      </c>
      <c r="B10" s="1">
        <v>65000</v>
      </c>
      <c r="C10" s="1">
        <v>32000</v>
      </c>
      <c r="D10" s="1">
        <v>88000</v>
      </c>
      <c r="E10" s="1">
        <v>99000</v>
      </c>
      <c r="F10" s="1"/>
      <c r="G10" s="1"/>
      <c r="H10" s="1">
        <v>99000</v>
      </c>
      <c r="I10" s="41">
        <f>I9/I3</f>
        <v>0.31238335114587318</v>
      </c>
      <c r="J10" s="1">
        <f t="shared" si="0"/>
        <v>30925.951763441444</v>
      </c>
    </row>
    <row r="11" spans="1:10" ht="15" thickBot="1">
      <c r="A11" t="s">
        <v>64</v>
      </c>
      <c r="B11" s="47">
        <f>SUM(B4:B10)</f>
        <v>195000</v>
      </c>
      <c r="C11" s="47">
        <f>SUM(C4:C10)</f>
        <v>195000</v>
      </c>
      <c r="D11" s="47">
        <f>SUM(D4:D10)</f>
        <v>212000</v>
      </c>
      <c r="E11" s="47">
        <f>SUM(E4:E10)</f>
        <v>202000</v>
      </c>
      <c r="F11" s="1"/>
      <c r="G11" s="1"/>
      <c r="H11" s="1"/>
      <c r="I11" s="41"/>
      <c r="J11" s="1">
        <f>SUM(J4:J10)</f>
        <v>609.36939881328726</v>
      </c>
    </row>
    <row r="12" spans="1:10" ht="15" thickTop="1">
      <c r="B12" s="1"/>
      <c r="C12" s="1"/>
      <c r="D12" s="1"/>
      <c r="E12" s="1"/>
      <c r="F12" s="1"/>
      <c r="G12" s="1"/>
      <c r="H12" s="1"/>
      <c r="I12" s="1"/>
    </row>
    <row r="13" spans="1:10">
      <c r="A13" t="s">
        <v>95</v>
      </c>
      <c r="B13" s="1">
        <f>B4+NPV(0.3,B5,B6,B7,B8,B9,B10)</f>
        <v>-23876.426434109992</v>
      </c>
      <c r="C13" s="1">
        <f t="shared" ref="C13:E13" si="1">C4+NPV(0.3,C5,C6,C7,C8,C9,C10)</f>
        <v>22154.978579015646</v>
      </c>
      <c r="D13" s="1">
        <f t="shared" si="1"/>
        <v>-30261.597258147172</v>
      </c>
      <c r="E13" s="1">
        <f t="shared" si="1"/>
        <v>-37211.408199495781</v>
      </c>
      <c r="F13" s="1"/>
      <c r="G13" s="1"/>
      <c r="H13" s="1"/>
      <c r="I13" s="1"/>
    </row>
    <row r="14" spans="1:10">
      <c r="A14" t="s">
        <v>94</v>
      </c>
      <c r="B14" s="1">
        <f>B4+NPV(0.15,B5,B6,B7,B8,B9,B10)</f>
        <v>49189.068267087627</v>
      </c>
      <c r="C14" s="1">
        <f t="shared" ref="C14:E14" si="2">C4+NPV(0.15,C5,C6,C7,C8,C9,C10)</f>
        <v>83503.913365224609</v>
      </c>
      <c r="D14" s="1">
        <f t="shared" si="2"/>
        <v>50570.590351911262</v>
      </c>
      <c r="E14" s="1">
        <f t="shared" si="2"/>
        <v>39976.945117680298</v>
      </c>
      <c r="F14" s="1"/>
      <c r="G14" s="1"/>
      <c r="H14" s="1"/>
      <c r="I14" s="1"/>
    </row>
    <row r="15" spans="1:10">
      <c r="A15" t="s">
        <v>122</v>
      </c>
      <c r="B15" s="1">
        <v>24</v>
      </c>
      <c r="C15" s="1">
        <v>38</v>
      </c>
      <c r="D15" s="1">
        <v>23</v>
      </c>
      <c r="E15" s="1">
        <v>21.4</v>
      </c>
      <c r="F15" s="1"/>
      <c r="G15" s="1"/>
      <c r="H15" s="1"/>
      <c r="I15" s="1"/>
    </row>
    <row r="16" spans="1:10">
      <c r="A16" t="s">
        <v>65</v>
      </c>
      <c r="B16" s="10">
        <f>-B14/B4*100</f>
        <v>32.792712178058423</v>
      </c>
      <c r="C16" s="10">
        <f t="shared" ref="C16:E16" si="3">-C14/C4*100</f>
        <v>55.669275576816403</v>
      </c>
      <c r="D16" s="10">
        <f t="shared" si="3"/>
        <v>25.285295175955628</v>
      </c>
      <c r="E16" s="10">
        <f t="shared" si="3"/>
        <v>23.515850069223703</v>
      </c>
      <c r="F16" s="9"/>
      <c r="G16" s="9"/>
      <c r="H16" s="1"/>
      <c r="I16" s="1"/>
    </row>
    <row r="17" spans="2:9">
      <c r="B17" s="9"/>
      <c r="C17" s="9"/>
      <c r="D17" s="9"/>
      <c r="E17" s="9"/>
      <c r="F17" s="9"/>
      <c r="G17" s="9"/>
      <c r="H17" s="1"/>
      <c r="I17" s="1"/>
    </row>
    <row r="18" spans="2:9">
      <c r="B18" t="s">
        <v>96</v>
      </c>
      <c r="C18" s="1"/>
      <c r="D18" s="1"/>
      <c r="E18" s="1"/>
      <c r="F18" s="1"/>
      <c r="G18" s="1"/>
      <c r="H18" s="1"/>
      <c r="I18" s="1"/>
    </row>
  </sheetData>
  <mergeCells count="2">
    <mergeCell ref="B3:E3"/>
    <mergeCell ref="B1:E1"/>
  </mergeCells>
  <phoneticPr fontId="1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7FBBE45A02FF43B2DB012F633F9BF5" ma:contentTypeVersion="0" ma:contentTypeDescription="Create a new document." ma:contentTypeScope="" ma:versionID="1cd96de4538a9ea783765af400c6966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da0bab1e00c84e9291a2a9b340ddb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C4415F-186F-4772-AF9F-CE9461F10F91}"/>
</file>

<file path=customXml/itemProps2.xml><?xml version="1.0" encoding="utf-8"?>
<ds:datastoreItem xmlns:ds="http://schemas.openxmlformats.org/officeDocument/2006/customXml" ds:itemID="{98829382-432C-47A0-964E-8248C49D961A}"/>
</file>

<file path=customXml/itemProps3.xml><?xml version="1.0" encoding="utf-8"?>
<ds:datastoreItem xmlns:ds="http://schemas.openxmlformats.org/officeDocument/2006/customXml" ds:itemID="{C30777EB-DC09-4B4E-9350-BB272EDA68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ZBB Bid</vt:lpstr>
      <vt:lpstr>Incremental Bid</vt:lpstr>
      <vt:lpstr> Actual</vt:lpstr>
      <vt:lpstr>Variance analysis</vt:lpstr>
      <vt:lpstr>Impact of taxation</vt:lpstr>
      <vt:lpstr> P&amp;L 2006-07</vt:lpstr>
      <vt:lpstr>BS 2006-07</vt:lpstr>
      <vt:lpstr>CF 2007</vt:lpstr>
      <vt:lpstr>Projects evaluation</vt:lpstr>
      <vt:lpstr>Capital forecast</vt:lpstr>
      <vt:lpstr>Unit cost and price</vt:lpstr>
      <vt:lpstr>Year 1 IS Projection</vt:lpstr>
      <vt:lpstr>Scenario 1</vt:lpstr>
      <vt:lpstr>Year 1 IS Projection (2)</vt:lpstr>
      <vt:lpstr>Year 1 IS Projection (5)</vt:lpstr>
      <vt:lpstr>Year 1 IS Projection (7)</vt:lpstr>
      <vt:lpstr>Year 1 IS Projection (8)</vt:lpstr>
      <vt:lpstr>Year 1 CF Projection</vt:lpstr>
      <vt:lpstr>Year 1 CF Projection (2)</vt:lpstr>
      <vt:lpstr>Year 1 CF Projection (3)</vt:lpstr>
      <vt:lpstr>Year 1 CF Projection (4)</vt:lpstr>
      <vt:lpstr>Year 1 CF Projection (5)</vt:lpstr>
      <vt:lpstr>Year 1 CF Projection (6)</vt:lpstr>
      <vt:lpstr>Year 1 CF Projection (7)</vt:lpstr>
      <vt:lpstr>Year 1 CF Projection (8)</vt:lpstr>
      <vt:lpstr>Interest</vt:lpstr>
      <vt:lpstr>5 Yr IS Projections</vt:lpstr>
      <vt:lpstr>5 Yr IS Projections (2)</vt:lpstr>
      <vt:lpstr>5 Yr IS Projections (5)</vt:lpstr>
      <vt:lpstr>5 Yr IS Projections (8)</vt:lpstr>
      <vt:lpstr>5 Yr CF Projections</vt:lpstr>
      <vt:lpstr>5 Yr CF Projections (2)</vt:lpstr>
      <vt:lpstr>5 Yr CF Projections (3)</vt:lpstr>
      <vt:lpstr>5 Yr CF Projections (4)</vt:lpstr>
      <vt:lpstr>Model  incomes statements </vt:lpstr>
      <vt:lpstr>Model cashflows</vt:lpstr>
      <vt:lpstr>10 km actual</vt:lpstr>
      <vt:lpstr>5 Yr CF Projections (5)</vt:lpstr>
      <vt:lpstr>5 Yr CF Projections (6)</vt:lpstr>
      <vt:lpstr>5 Yr CF Projections (7)</vt:lpstr>
      <vt:lpstr>5 Yr CF Projections (8)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TRT009</cp:keywords>
  <cp:lastModifiedBy/>
  <dcterms:created xsi:type="dcterms:W3CDTF">2006-09-16T00:00:00Z</dcterms:created>
  <dcterms:modified xsi:type="dcterms:W3CDTF">2012-10-16T10:04:02Z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0x010100DA7FBBE45A02FF43B2DB012F633F9BF5</vt:lpwstr>
  </property>
</Properties>
</file>